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 Illust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0&quot;×&quot;"/>
  </numFmts>
  <fonts count="23">
    <font>
      <name val="Calibri"/>
      <family val="2"/>
      <color theme="1"/>
      <sz val="11"/>
      <scheme val="minor"/>
    </font>
    <font>
      <name val="Calibri"/>
      <b val="1"/>
      <color rgb="008C6335"/>
      <sz val="9"/>
    </font>
    <font>
      <name val="Calibri"/>
      <b val="1"/>
      <color rgb="000B1F2A"/>
      <sz val="22"/>
    </font>
    <font>
      <name val="Calibri"/>
      <i val="1"/>
      <color rgb="00556773"/>
      <sz val="11"/>
    </font>
    <font>
      <name val="Calibri"/>
      <b val="1"/>
      <color rgb="008C6335"/>
      <sz val="10"/>
    </font>
    <font>
      <name val="Calibri"/>
      <b val="1"/>
      <color rgb="00FFFFFF"/>
      <sz val="10"/>
    </font>
    <font>
      <name val="Calibri"/>
      <b val="1"/>
      <color rgb="000F1F28"/>
      <sz val="11"/>
    </font>
    <font>
      <name val="Calibri"/>
      <color rgb="000F1F28"/>
      <sz val="11"/>
    </font>
    <font>
      <name val="Calibri"/>
      <color rgb="000B1F2A"/>
      <sz val="11"/>
    </font>
    <font>
      <name val="Calibri"/>
      <b val="1"/>
      <color rgb="008C6335"/>
      <sz val="11"/>
    </font>
    <font>
      <name val="Calibri"/>
      <color rgb="006D28D9"/>
      <sz val="11"/>
    </font>
    <font>
      <name val="Calibri"/>
      <i val="1"/>
      <color rgb="00556773"/>
      <sz val="10"/>
    </font>
    <font>
      <name val="Calibri"/>
      <b val="1"/>
      <color rgb="000B1F2A"/>
      <sz val="11"/>
    </font>
    <font>
      <name val="Calibri"/>
      <color rgb="000B1F2A"/>
      <sz val="10"/>
    </font>
    <font>
      <name val="Calibri"/>
      <b val="1"/>
      <color rgb="00044F4F"/>
      <sz val="10"/>
    </font>
    <font>
      <name val="Calibri"/>
      <b val="1"/>
      <color rgb="00044F4F"/>
      <sz val="11"/>
    </font>
    <font>
      <name val="Calibri"/>
      <b val="1"/>
      <color rgb="000B1F2A"/>
      <sz val="10"/>
    </font>
    <font>
      <name val="Calibri"/>
      <b val="1"/>
      <color rgb="000B1F2A"/>
      <sz val="14"/>
    </font>
    <font>
      <name val="Calibri"/>
      <b val="1"/>
      <color rgb="00044F4F"/>
      <sz val="14"/>
    </font>
    <font>
      <name val="Calibri"/>
      <b val="1"/>
      <color rgb="008C6335"/>
      <sz val="14"/>
    </font>
    <font>
      <name val="Calibri"/>
      <color rgb="00556773"/>
      <sz val="10"/>
    </font>
    <font>
      <name val="Calibri"/>
      <color rgb="001A2F3A"/>
      <sz val="10.5"/>
    </font>
    <font>
      <name val="Calibri"/>
      <i val="1"/>
      <color rgb="00556773"/>
      <sz val="9"/>
    </font>
  </fonts>
  <fills count="7">
    <fill>
      <patternFill/>
    </fill>
    <fill>
      <patternFill patternType="gray125"/>
    </fill>
    <fill>
      <patternFill patternType="solid">
        <fgColor rgb="00C9A55C"/>
      </patternFill>
    </fill>
    <fill>
      <patternFill patternType="solid">
        <fgColor rgb="000B1F2A"/>
      </patternFill>
    </fill>
    <fill>
      <patternFill patternType="solid">
        <fgColor rgb="00FFF5DF"/>
      </patternFill>
    </fill>
    <fill>
      <patternFill patternType="solid">
        <fgColor rgb="00FAFAF7"/>
      </patternFill>
    </fill>
    <fill>
      <patternFill patternType="solid">
        <fgColor rgb="00F5EEDF"/>
      </patternFill>
    </fill>
  </fills>
  <borders count="8">
    <border>
      <left/>
      <right/>
      <top/>
      <bottom/>
      <diagonal/>
    </border>
    <border>
      <top style="medium">
        <color rgb="00C9A55C"/>
      </top>
      <bottom style="medium">
        <color rgb="00C9A55C"/>
      </bottom>
    </border>
    <border>
      <bottom style="thin">
        <color rgb="00C9A55C"/>
      </bottom>
    </border>
    <border>
      <left style="thin">
        <color rgb="000B1F2A"/>
      </left>
      <right style="thin">
        <color rgb="000B1F2A"/>
      </right>
      <top style="thin">
        <color rgb="000B1F2A"/>
      </top>
      <bottom style="thin">
        <color rgb="000B1F2A"/>
      </bottom>
    </border>
    <border>
      <left style="thin">
        <color rgb="00E8E6E0"/>
      </left>
      <right style="thin">
        <color rgb="00E8E6E0"/>
      </right>
      <top style="thin">
        <color rgb="00E8E6E0"/>
      </top>
      <bottom style="thin">
        <color rgb="00E8E6E0"/>
      </bottom>
    </border>
    <border>
      <left style="medium">
        <color rgb="00C9A55C"/>
      </left>
      <right style="medium">
        <color rgb="00C9A55C"/>
      </right>
      <top style="medium">
        <color rgb="00C9A55C"/>
      </top>
      <bottom style="medium">
        <color rgb="00C9A55C"/>
      </bottom>
    </border>
    <border>
      <left style="thin">
        <color rgb="00EFEDE7"/>
      </left>
      <right style="thin">
        <color rgb="00EFEDE7"/>
      </right>
      <top style="thin">
        <color rgb="00EFEDE7"/>
      </top>
      <bottom style="thin">
        <color rgb="00EFEDE7"/>
      </bottom>
    </border>
    <border>
      <left/>
      <right/>
      <top/>
      <bottom style="thin">
        <color rgb="00C9A55C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2" borderId="1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/>
    </xf>
    <xf numFmtId="0" fontId="5" fillId="3" borderId="3" applyAlignment="1" pivotButton="0" quotePrefix="0" xfId="0">
      <alignment horizontal="center" vertical="center" wrapText="1"/>
    </xf>
    <xf numFmtId="0" fontId="0" fillId="0" borderId="2" pivotButton="0" quotePrefix="0" xfId="0"/>
    <xf numFmtId="0" fontId="6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10" fontId="8" fillId="0" borderId="4" applyAlignment="1" pivotButton="0" quotePrefix="0" xfId="0">
      <alignment horizontal="right" vertical="center"/>
    </xf>
    <xf numFmtId="10" fontId="9" fillId="0" borderId="4" applyAlignment="1" pivotButton="0" quotePrefix="0" xfId="0">
      <alignment horizontal="right" vertical="center"/>
    </xf>
    <xf numFmtId="10" fontId="10" fillId="0" borderId="4" applyAlignment="1" pivotButton="0" quotePrefix="0" xfId="0">
      <alignment horizontal="right" vertical="center"/>
    </xf>
    <xf numFmtId="164" fontId="8" fillId="0" borderId="4" applyAlignment="1" pivotButton="0" quotePrefix="0" xfId="0">
      <alignment horizontal="right" vertical="center"/>
    </xf>
    <xf numFmtId="0" fontId="11" fillId="0" borderId="0" applyAlignment="1" pivotButton="0" quotePrefix="0" xfId="0">
      <alignment vertical="center" wrapText="1"/>
    </xf>
    <xf numFmtId="164" fontId="12" fillId="4" borderId="5" applyAlignment="1" pivotButton="0" quotePrefix="0" xfId="0">
      <alignment horizontal="right" vertical="center"/>
    </xf>
    <xf numFmtId="10" fontId="12" fillId="4" borderId="5" applyAlignment="1" pivotButton="0" quotePrefix="0" xfId="0">
      <alignment horizontal="right" vertical="center"/>
    </xf>
    <xf numFmtId="1" fontId="12" fillId="4" borderId="5" applyAlignment="1" pivotButton="0" quotePrefix="0" xfId="0">
      <alignment horizontal="right" vertical="center"/>
    </xf>
    <xf numFmtId="0" fontId="9" fillId="5" borderId="0" applyAlignment="1" pivotButton="0" quotePrefix="0" xfId="0">
      <alignment horizontal="center"/>
    </xf>
    <xf numFmtId="0" fontId="5" fillId="3" borderId="2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164" fontId="13" fillId="0" borderId="6" applyAlignment="1" pivotButton="0" quotePrefix="0" xfId="0">
      <alignment horizontal="right" vertical="center"/>
    </xf>
    <xf numFmtId="10" fontId="13" fillId="0" borderId="6" applyAlignment="1" pivotButton="0" quotePrefix="0" xfId="0">
      <alignment horizontal="right" vertical="center"/>
    </xf>
    <xf numFmtId="49" fontId="13" fillId="0" borderId="6" applyAlignment="1" pivotButton="0" quotePrefix="0" xfId="0">
      <alignment horizontal="center" vertical="center"/>
    </xf>
    <xf numFmtId="164" fontId="14" fillId="6" borderId="6" applyAlignment="1" pivotButton="0" quotePrefix="0" xfId="0">
      <alignment horizontal="right" vertical="center"/>
    </xf>
    <xf numFmtId="0" fontId="7" fillId="0" borderId="2" applyAlignment="1" pivotButton="0" quotePrefix="0" xfId="0">
      <alignment vertical="center" wrapText="1"/>
    </xf>
    <xf numFmtId="164" fontId="13" fillId="0" borderId="2" applyAlignment="1" pivotButton="0" quotePrefix="0" xfId="0">
      <alignment horizontal="right"/>
    </xf>
    <xf numFmtId="164" fontId="13" fillId="0" borderId="0" applyAlignment="1" pivotButton="0" quotePrefix="0" xfId="0">
      <alignment horizontal="right"/>
    </xf>
    <xf numFmtId="164" fontId="16" fillId="0" borderId="0" applyAlignment="1" pivotButton="0" quotePrefix="0" xfId="0">
      <alignment horizontal="right"/>
    </xf>
    <xf numFmtId="0" fontId="15" fillId="0" borderId="0" applyAlignment="1" pivotButton="0" quotePrefix="0" xfId="0">
      <alignment vertical="center" wrapText="1"/>
    </xf>
    <xf numFmtId="10" fontId="14" fillId="0" borderId="0" applyAlignment="1" pivotButton="0" quotePrefix="0" xfId="0">
      <alignment horizontal="right"/>
    </xf>
    <xf numFmtId="165" fontId="14" fillId="0" borderId="0" applyAlignment="1" pivotButton="0" quotePrefix="0" xfId="0">
      <alignment horizontal="right"/>
    </xf>
    <xf numFmtId="0" fontId="12" fillId="0" borderId="2" applyAlignment="1" pivotButton="0" quotePrefix="0" xfId="0">
      <alignment vertical="center" wrapText="1"/>
    </xf>
    <xf numFmtId="164" fontId="17" fillId="5" borderId="4" applyAlignment="1" pivotButton="0" quotePrefix="0" xfId="0">
      <alignment horizontal="right"/>
    </xf>
    <xf numFmtId="164" fontId="18" fillId="5" borderId="4" applyAlignment="1" pivotButton="0" quotePrefix="0" xfId="0">
      <alignment horizontal="right"/>
    </xf>
    <xf numFmtId="10" fontId="18" fillId="5" borderId="4" applyAlignment="1" pivotButton="0" quotePrefix="0" xfId="0">
      <alignment horizontal="right"/>
    </xf>
    <xf numFmtId="0" fontId="12" fillId="0" borderId="0" applyAlignment="1" pivotButton="0" quotePrefix="0" xfId="0">
      <alignment vertical="center" wrapText="1"/>
    </xf>
    <xf numFmtId="165" fontId="17" fillId="5" borderId="4" applyAlignment="1" pivotButton="0" quotePrefix="0" xfId="0">
      <alignment horizontal="right"/>
    </xf>
    <xf numFmtId="0" fontId="9" fillId="0" borderId="0" applyAlignment="1" pivotButton="0" quotePrefix="0" xfId="0">
      <alignment vertical="center" wrapText="1"/>
    </xf>
    <xf numFmtId="164" fontId="19" fillId="5" borderId="4" applyAlignment="1" pivotButton="0" quotePrefix="0" xfId="0">
      <alignment horizontal="right"/>
    </xf>
    <xf numFmtId="0" fontId="21" fillId="0" borderId="2" applyAlignment="1" pivotButton="0" quotePrefix="0" xfId="0">
      <alignment vertical="center" wrapText="1"/>
    </xf>
    <xf numFmtId="0" fontId="0" fillId="0" borderId="7" pivotButton="0" quotePrefix="0" xfId="0"/>
    <xf numFmtId="0" fontId="21" fillId="0" borderId="0" applyAlignment="1" pivotButton="0" quotePrefix="0" xfId="0">
      <alignment vertical="center" wrapText="1"/>
    </xf>
    <xf numFmtId="0" fontId="22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ont>
        <name val="Calibri"/>
        <color rgb="00FFFFFF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NAV trajectory — Net of all fees (USD)</a:t>
            </a:r>
          </a:p>
        </rich>
      </tx>
    </title>
    <plotArea>
      <lineChart>
        <grouping val="standard"/>
        <ser>
          <idx val="0"/>
          <order val="0"/>
          <tx>
            <v>Net NAV (USD)</v>
          </tx>
          <spPr>
            <a:ln xmlns:a="http://schemas.openxmlformats.org/drawingml/2006/main" w="28000" cap="rnd">
              <a:solidFill>
                <a:srgbClr val="066C6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066C6C"/>
              </a:solidFill>
              <a:ln xmlns:a="http://schemas.openxmlformats.org/drawingml/2006/main" w="12000">
                <a:solidFill>
                  <a:srgbClr val="066C6C"/>
                </a:solidFill>
                <a:prstDash val="solid"/>
              </a:ln>
            </spPr>
          </marker>
          <cat>
            <numRef>
              <f>'Fee Illustration'!$C$24:$L$24</f>
            </numRef>
          </cat>
          <val>
            <numRef>
              <f>'Fee Illustration'!$C$38:$L$38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 fees — Mgmt+Ops vs Performance</a:t>
            </a:r>
          </a:p>
        </rich>
      </tx>
    </title>
    <plotArea>
      <barChart>
        <barDir val="col"/>
        <grouping val="stacked"/>
        <ser>
          <idx val="0"/>
          <order val="0"/>
          <tx>
            <v>Mgmt + Ops</v>
          </tx>
          <spPr>
            <a:solidFill xmlns:a="http://schemas.openxmlformats.org/drawingml/2006/main">
              <a:srgbClr val="1A2F3A"/>
            </a:solidFill>
            <a:ln xmlns:a="http://schemas.openxmlformats.org/drawingml/2006/main">
              <a:solidFill>
                <a:srgbClr val="1A2F3A"/>
              </a:solidFill>
              <a:prstDash val="solid"/>
            </a:ln>
          </spPr>
          <cat>
            <numRef>
              <f>'Fee Illustration'!$C$24:$L$24</f>
            </numRef>
          </cat>
          <val>
            <numRef>
              <f>'Fee Illustration'!$C$29:$L$29</f>
            </numRef>
          </val>
        </ser>
        <ser>
          <idx val="1"/>
          <order val="1"/>
          <tx>
            <v>Performance</v>
          </tx>
          <spPr>
            <a:solidFill xmlns:a="http://schemas.openxmlformats.org/drawingml/2006/main">
              <a:srgbClr val="C9A55C"/>
            </a:solidFill>
            <a:ln xmlns:a="http://schemas.openxmlformats.org/drawingml/2006/main">
              <a:solidFill>
                <a:srgbClr val="C9A55C"/>
              </a:solidFill>
              <a:prstDash val="solid"/>
            </a:ln>
          </spPr>
          <cat>
            <numRef>
              <f>'Fee Illustration'!$C$24:$L$24</f>
            </numRef>
          </cat>
          <val>
            <numRef>
              <f>'Fee Illustration'!$C$37:$L$37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1.png" Id="rId3"/></Relationships>
</file>

<file path=xl/drawings/drawing1.xml><?xml version="1.0" encoding="utf-8"?>
<wsDr xmlns="http://schemas.openxmlformats.org/drawingml/2006/spreadsheetDrawing">
  <oneCellAnchor>
    <from>
      <col>12</col>
      <colOff>0</colOff>
      <row>7</row>
      <rowOff>0</rowOff>
    </from>
    <ext cx="648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27</row>
      <rowOff>0</rowOff>
    </from>
    <ext cx="648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0</row>
      <rowOff>0</rowOff>
    </from>
    <ext cx="1428750" cy="4953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L6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52" customHeight="1"/>
    <row r="2" ht="8" customHeight="1"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 ht="22" customHeight="1">
      <c r="B3" s="2" t="inlineStr">
        <is>
          <t>PMS FEE ILLUSTRATION</t>
        </is>
      </c>
    </row>
    <row r="4" ht="30" customHeight="1">
      <c r="B4" s="3" t="inlineStr">
        <is>
          <t>Emerging Opportunities Fund — GIFT City AIF</t>
        </is>
      </c>
    </row>
    <row r="5" ht="6" customHeight="1"/>
    <row r="6" ht="22" customHeight="1">
      <c r="B6" s="4" t="inlineStr">
        <is>
          <t>USD-denominated Category III AIF · Three commitment classes · 1.5% management + tiered carry, 6% USD hurdle, 2× HWM crystallisation.</t>
        </is>
      </c>
    </row>
    <row r="8">
      <c r="B8" s="5" t="inlineStr">
        <is>
          <t>01  ·  SHARE CLASS STRUCTURE</t>
        </is>
      </c>
    </row>
    <row r="9">
      <c r="B9" s="6" t="inlineStr">
        <is>
          <t>Class</t>
        </is>
      </c>
      <c r="C9" s="6" t="inlineStr">
        <is>
          <t>Commitment</t>
        </is>
      </c>
      <c r="D9" s="6" t="inlineStr">
        <is>
          <t>Management</t>
        </is>
      </c>
      <c r="E9" s="6" t="inlineStr">
        <is>
          <t>Performance</t>
        </is>
      </c>
      <c r="F9" s="6" t="inlineStr">
        <is>
          <t>Hurdle (USD)</t>
        </is>
      </c>
      <c r="G9" s="6" t="inlineStr">
        <is>
          <t>Floor (USD)</t>
        </is>
      </c>
      <c r="H9" s="6" t="inlineStr">
        <is>
          <t>Ceiling (USD)</t>
        </is>
      </c>
      <c r="I9" s="7" t="n"/>
      <c r="J9" s="7" t="n"/>
      <c r="K9" s="7" t="n"/>
    </row>
    <row r="10">
      <c r="B10" s="8" t="inlineStr">
        <is>
          <t>Class A</t>
        </is>
      </c>
      <c r="C10" s="9" t="inlineStr">
        <is>
          <t>USD 250k – 500k</t>
        </is>
      </c>
      <c r="D10" s="10" t="n">
        <v>0.015</v>
      </c>
      <c r="E10" s="11" t="n">
        <v>0.2</v>
      </c>
      <c r="F10" s="12" t="n">
        <v>0.06</v>
      </c>
      <c r="G10" s="13" t="n">
        <v>250000</v>
      </c>
      <c r="H10" s="13" t="n">
        <v>500000</v>
      </c>
    </row>
    <row r="11">
      <c r="B11" s="8" t="inlineStr">
        <is>
          <t>Class B</t>
        </is>
      </c>
      <c r="C11" s="9" t="inlineStr">
        <is>
          <t>USD 500k – 1m</t>
        </is>
      </c>
      <c r="D11" s="10" t="n">
        <v>0.015</v>
      </c>
      <c r="E11" s="11" t="n">
        <v>0.18</v>
      </c>
      <c r="F11" s="12" t="n">
        <v>0.06</v>
      </c>
      <c r="G11" s="13" t="n">
        <v>500000</v>
      </c>
      <c r="H11" s="13" t="n">
        <v>1000000</v>
      </c>
    </row>
    <row r="12">
      <c r="B12" s="8" t="inlineStr">
        <is>
          <t>Class C</t>
        </is>
      </c>
      <c r="C12" s="9" t="inlineStr">
        <is>
          <t>USD 1m and above</t>
        </is>
      </c>
      <c r="D12" s="10" t="n">
        <v>0.015</v>
      </c>
      <c r="E12" s="11" t="n">
        <v>0.15</v>
      </c>
      <c r="F12" s="12" t="n">
        <v>0.06</v>
      </c>
      <c r="G12" s="13" t="n">
        <v>1000000</v>
      </c>
      <c r="H12" s="13" t="n">
        <v>999999999</v>
      </c>
    </row>
    <row r="13">
      <c r="B13" s="14" t="inlineStr">
        <is>
          <t>Operating + transaction expenses of ~15-20 bps p.a. apply on top of the management fee. Carry payable at 2× initial NAV OR on redemption — subject to compounded 6% USD hurdle. No GP catch-up.</t>
        </is>
      </c>
    </row>
    <row r="15">
      <c r="B15" s="5" t="inlineStr">
        <is>
          <t>02  ·  YOUR INPUTS</t>
        </is>
      </c>
    </row>
    <row r="16"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>
      <c r="B17" s="8" t="inlineStr">
        <is>
          <t>Commitment  (USD)</t>
        </is>
      </c>
      <c r="C17" s="15" t="n">
        <v>1000000</v>
      </c>
      <c r="D17" s="4" t="inlineStr">
        <is>
          <t>Minimum USD 250,000</t>
        </is>
      </c>
    </row>
    <row r="18">
      <c r="B18" s="8" t="inlineStr">
        <is>
          <t>Expected gross annual return</t>
        </is>
      </c>
      <c r="C18" s="16" t="n">
        <v>0.2</v>
      </c>
      <c r="D18" s="4" t="inlineStr">
        <is>
          <t>Pre-fee USD CAGR assumption</t>
        </is>
      </c>
    </row>
    <row r="19">
      <c r="B19" s="8" t="inlineStr">
        <is>
          <t>Operating expenses (p.a.)</t>
        </is>
      </c>
      <c r="C19" s="16" t="n">
        <v>0.00175</v>
      </c>
      <c r="D19" s="4" t="inlineStr">
        <is>
          <t>15-20 bps range per factsheet</t>
        </is>
      </c>
    </row>
    <row r="20">
      <c r="B20" s="8" t="inlineStr">
        <is>
          <t>Investment horizon (years)</t>
        </is>
      </c>
      <c r="C20" s="17" t="n">
        <v>7</v>
      </c>
    </row>
    <row r="21">
      <c r="B21" s="4" t="inlineStr">
        <is>
          <t>Share class (auto-derived)</t>
        </is>
      </c>
      <c r="C21" s="18">
        <f>IF(C17&gt;=1000000,"Class C",IF(C17&gt;=500000,"Class B","Class A"))</f>
        <v/>
      </c>
    </row>
    <row r="23">
      <c r="B23" s="5" t="inlineStr">
        <is>
          <t>03  ·  YEAR-BY-YEAR PROJECTION  ·  USD</t>
        </is>
      </c>
    </row>
    <row r="24">
      <c r="B24" s="7" t="n"/>
      <c r="C24" s="19" t="inlineStr">
        <is>
          <t>Year 1</t>
        </is>
      </c>
      <c r="D24" s="19" t="inlineStr">
        <is>
          <t>Year 2</t>
        </is>
      </c>
      <c r="E24" s="19" t="inlineStr">
        <is>
          <t>Year 3</t>
        </is>
      </c>
      <c r="F24" s="19" t="inlineStr">
        <is>
          <t>Year 4</t>
        </is>
      </c>
      <c r="G24" s="19" t="inlineStr">
        <is>
          <t>Year 5</t>
        </is>
      </c>
      <c r="H24" s="19" t="inlineStr">
        <is>
          <t>Year 6</t>
        </is>
      </c>
      <c r="I24" s="19" t="inlineStr">
        <is>
          <t>Year 7</t>
        </is>
      </c>
      <c r="J24" s="19" t="inlineStr">
        <is>
          <t>Year 8</t>
        </is>
      </c>
      <c r="K24" s="19" t="inlineStr">
        <is>
          <t>Year 9</t>
        </is>
      </c>
      <c r="L24" s="20" t="inlineStr">
        <is>
          <t>Year 10</t>
        </is>
      </c>
    </row>
    <row r="25">
      <c r="B25" s="9" t="inlineStr">
        <is>
          <t>Start NAV</t>
        </is>
      </c>
      <c r="C25" s="21">
        <f>C17</f>
        <v/>
      </c>
      <c r="D25" s="21">
        <f>IF($C$20&gt;=2,C38,NA())</f>
        <v/>
      </c>
      <c r="E25" s="21">
        <f>IF($C$20&gt;=3,D38,NA())</f>
        <v/>
      </c>
      <c r="F25" s="21">
        <f>IF($C$20&gt;=4,E38,NA())</f>
        <v/>
      </c>
      <c r="G25" s="21">
        <f>IF($C$20&gt;=5,F38,NA())</f>
        <v/>
      </c>
      <c r="H25" s="21">
        <f>IF($C$20&gt;=6,G38,NA())</f>
        <v/>
      </c>
      <c r="I25" s="21">
        <f>IF($C$20&gt;=7,H38,NA())</f>
        <v/>
      </c>
      <c r="J25" s="21">
        <f>IF($C$20&gt;=8,I38,NA())</f>
        <v/>
      </c>
      <c r="K25" s="21">
        <f>IF($C$20&gt;=9,J38,NA())</f>
        <v/>
      </c>
      <c r="L25" s="21">
        <f>IF($C$20&gt;=10,K38,NA())</f>
        <v/>
      </c>
    </row>
    <row r="26">
      <c r="B26" s="9" t="inlineStr">
        <is>
          <t>Mgmt + Ops % applied</t>
        </is>
      </c>
      <c r="C26" s="22">
        <f>0.015+$C$19</f>
        <v/>
      </c>
      <c r="D26" s="22">
        <f>0.015+$C$19</f>
        <v/>
      </c>
      <c r="E26" s="22">
        <f>0.015+$C$19</f>
        <v/>
      </c>
      <c r="F26" s="22">
        <f>0.015+$C$19</f>
        <v/>
      </c>
      <c r="G26" s="22">
        <f>0.015+$C$19</f>
        <v/>
      </c>
      <c r="H26" s="22">
        <f>0.015+$C$19</f>
        <v/>
      </c>
      <c r="I26" s="22">
        <f>0.015+$C$19</f>
        <v/>
      </c>
      <c r="J26" s="22">
        <f>0.015+$C$19</f>
        <v/>
      </c>
      <c r="K26" s="22">
        <f>0.015+$C$19</f>
        <v/>
      </c>
      <c r="L26" s="22">
        <f>0.015+$C$19</f>
        <v/>
      </c>
    </row>
    <row r="27">
      <c r="B27" s="9" t="inlineStr">
        <is>
          <t>Performance fee % (class)</t>
        </is>
      </c>
      <c r="C27" s="22">
        <f>IF($C$17&gt;=1000000,0.15,IF($C$17&gt;=500000,0.18,0.20))</f>
        <v/>
      </c>
      <c r="D27" s="22">
        <f>IF($C$17&gt;=1000000,0.15,IF($C$17&gt;=500000,0.18,0.20))</f>
        <v/>
      </c>
      <c r="E27" s="22">
        <f>IF($C$17&gt;=1000000,0.15,IF($C$17&gt;=500000,0.18,0.20))</f>
        <v/>
      </c>
      <c r="F27" s="22">
        <f>IF($C$17&gt;=1000000,0.15,IF($C$17&gt;=500000,0.18,0.20))</f>
        <v/>
      </c>
      <c r="G27" s="22">
        <f>IF($C$17&gt;=1000000,0.15,IF($C$17&gt;=500000,0.18,0.20))</f>
        <v/>
      </c>
      <c r="H27" s="22">
        <f>IF($C$17&gt;=1000000,0.15,IF($C$17&gt;=500000,0.18,0.20))</f>
        <v/>
      </c>
      <c r="I27" s="22">
        <f>IF($C$17&gt;=1000000,0.15,IF($C$17&gt;=500000,0.18,0.20))</f>
        <v/>
      </c>
      <c r="J27" s="22">
        <f>IF($C$17&gt;=1000000,0.15,IF($C$17&gt;=500000,0.18,0.20))</f>
        <v/>
      </c>
      <c r="K27" s="22">
        <f>IF($C$17&gt;=1000000,0.15,IF($C$17&gt;=500000,0.18,0.20))</f>
        <v/>
      </c>
      <c r="L27" s="22">
        <f>IF($C$17&gt;=1000000,0.15,IF($C$17&gt;=500000,0.18,0.20))</f>
        <v/>
      </c>
    </row>
    <row r="28">
      <c r="B28" s="9" t="inlineStr">
        <is>
          <t>NAV before fees (year-end)</t>
        </is>
      </c>
      <c r="C28" s="21">
        <f>C25*(1+$C$18)</f>
        <v/>
      </c>
      <c r="D28" s="21">
        <f>D25*(1+$C$18)</f>
        <v/>
      </c>
      <c r="E28" s="21">
        <f>E25*(1+$C$18)</f>
        <v/>
      </c>
      <c r="F28" s="21">
        <f>F25*(1+$C$18)</f>
        <v/>
      </c>
      <c r="G28" s="21">
        <f>G25*(1+$C$18)</f>
        <v/>
      </c>
      <c r="H28" s="21">
        <f>H25*(1+$C$18)</f>
        <v/>
      </c>
      <c r="I28" s="21">
        <f>I25*(1+$C$18)</f>
        <v/>
      </c>
      <c r="J28" s="21">
        <f>J25*(1+$C$18)</f>
        <v/>
      </c>
      <c r="K28" s="21">
        <f>K25*(1+$C$18)</f>
        <v/>
      </c>
      <c r="L28" s="21">
        <f>L25*(1+$C$18)</f>
        <v/>
      </c>
    </row>
    <row r="29">
      <c r="B29" s="9" t="inlineStr">
        <is>
          <t>Mgmt + Ops fee charged</t>
        </is>
      </c>
      <c r="C29" s="21">
        <f>C25*C26</f>
        <v/>
      </c>
      <c r="D29" s="21">
        <f>D25*D26</f>
        <v/>
      </c>
      <c r="E29" s="21">
        <f>E25*E26</f>
        <v/>
      </c>
      <c r="F29" s="21">
        <f>F25*F26</f>
        <v/>
      </c>
      <c r="G29" s="21">
        <f>G25*G26</f>
        <v/>
      </c>
      <c r="H29" s="21">
        <f>H25*H26</f>
        <v/>
      </c>
      <c r="I29" s="21">
        <f>I25*I26</f>
        <v/>
      </c>
      <c r="J29" s="21">
        <f>J25*J26</f>
        <v/>
      </c>
      <c r="K29" s="21">
        <f>K25*K26</f>
        <v/>
      </c>
      <c r="L29" s="21">
        <f>L25*L26</f>
        <v/>
      </c>
    </row>
    <row r="30">
      <c r="B30" s="9" t="inlineStr">
        <is>
          <t>NAV after mgmt fee</t>
        </is>
      </c>
      <c r="C30" s="21">
        <f>(C25-C29)*(1+$C$18)</f>
        <v/>
      </c>
      <c r="D30" s="21">
        <f>(D25-D29)*(1+$C$18)</f>
        <v/>
      </c>
      <c r="E30" s="21">
        <f>(E25-E29)*(1+$C$18)</f>
        <v/>
      </c>
      <c r="F30" s="21">
        <f>(F25-F29)*(1+$C$18)</f>
        <v/>
      </c>
      <c r="G30" s="21">
        <f>(G25-G29)*(1+$C$18)</f>
        <v/>
      </c>
      <c r="H30" s="21">
        <f>(H25-H29)*(1+$C$18)</f>
        <v/>
      </c>
      <c r="I30" s="21">
        <f>(I25-I29)*(1+$C$18)</f>
        <v/>
      </c>
      <c r="J30" s="21">
        <f>(J25-J29)*(1+$C$18)</f>
        <v/>
      </c>
      <c r="K30" s="21">
        <f>(K25-K29)*(1+$C$18)</f>
        <v/>
      </c>
      <c r="L30" s="21">
        <f>(L25-L29)*(1+$C$18)</f>
        <v/>
      </c>
    </row>
    <row r="31">
      <c r="B31" s="9" t="inlineStr">
        <is>
          <t>HWM at start of year</t>
        </is>
      </c>
      <c r="C31" s="21">
        <f>C17</f>
        <v/>
      </c>
      <c r="D31" s="21">
        <f>C39</f>
        <v/>
      </c>
      <c r="E31" s="21">
        <f>D39</f>
        <v/>
      </c>
      <c r="F31" s="21">
        <f>E39</f>
        <v/>
      </c>
      <c r="G31" s="21">
        <f>F39</f>
        <v/>
      </c>
      <c r="H31" s="21">
        <f>G39</f>
        <v/>
      </c>
      <c r="I31" s="21">
        <f>H39</f>
        <v/>
      </c>
      <c r="J31" s="21">
        <f>I39</f>
        <v/>
      </c>
      <c r="K31" s="21">
        <f>J39</f>
        <v/>
      </c>
      <c r="L31" s="21">
        <f>K39</f>
        <v/>
      </c>
    </row>
    <row r="32">
      <c r="B32" s="9" t="inlineStr">
        <is>
          <t>2× HWM target</t>
        </is>
      </c>
      <c r="C32" s="21">
        <f>2*C31</f>
        <v/>
      </c>
      <c r="D32" s="21">
        <f>2*D31</f>
        <v/>
      </c>
      <c r="E32" s="21">
        <f>2*E31</f>
        <v/>
      </c>
      <c r="F32" s="21">
        <f>2*F31</f>
        <v/>
      </c>
      <c r="G32" s="21">
        <f>2*G31</f>
        <v/>
      </c>
      <c r="H32" s="21">
        <f>2*H31</f>
        <v/>
      </c>
      <c r="I32" s="21">
        <f>2*I31</f>
        <v/>
      </c>
      <c r="J32" s="21">
        <f>2*J31</f>
        <v/>
      </c>
      <c r="K32" s="21">
        <f>2*K31</f>
        <v/>
      </c>
      <c r="L32" s="21">
        <f>2*L31</f>
        <v/>
      </c>
    </row>
    <row r="33">
      <c r="B33" s="9" t="inlineStr">
        <is>
          <t>Compounded 6% hurdle</t>
        </is>
      </c>
      <c r="C33" s="21">
        <f>C31*1.06</f>
        <v/>
      </c>
      <c r="D33" s="21">
        <f>IF(C35="YES",D31*1.06,C33*1.06)</f>
        <v/>
      </c>
      <c r="E33" s="21">
        <f>IF(D35="YES",E31*1.06,D33*1.06)</f>
        <v/>
      </c>
      <c r="F33" s="21">
        <f>IF(E35="YES",F31*1.06,E33*1.06)</f>
        <v/>
      </c>
      <c r="G33" s="21">
        <f>IF(F35="YES",G31*1.06,F33*1.06)</f>
        <v/>
      </c>
      <c r="H33" s="21">
        <f>IF(G35="YES",H31*1.06,G33*1.06)</f>
        <v/>
      </c>
      <c r="I33" s="21">
        <f>IF(H35="YES",I31*1.06,H33*1.06)</f>
        <v/>
      </c>
      <c r="J33" s="21">
        <f>IF(I35="YES",J31*1.06,I33*1.06)</f>
        <v/>
      </c>
      <c r="K33" s="21">
        <f>IF(J35="YES",K31*1.06,J33*1.06)</f>
        <v/>
      </c>
      <c r="L33" s="21">
        <f>IF(K35="YES",L31*1.06,K33*1.06)</f>
        <v/>
      </c>
    </row>
    <row r="34">
      <c r="B34" s="9" t="inlineStr">
        <is>
          <t>Benchmark (max of the two)</t>
        </is>
      </c>
      <c r="C34" s="21">
        <f>MAX(C32,C33)</f>
        <v/>
      </c>
      <c r="D34" s="21">
        <f>MAX(D32,D33)</f>
        <v/>
      </c>
      <c r="E34" s="21">
        <f>MAX(E32,E33)</f>
        <v/>
      </c>
      <c r="F34" s="21">
        <f>MAX(F32,F33)</f>
        <v/>
      </c>
      <c r="G34" s="21">
        <f>MAX(G32,G33)</f>
        <v/>
      </c>
      <c r="H34" s="21">
        <f>MAX(H32,H33)</f>
        <v/>
      </c>
      <c r="I34" s="21">
        <f>MAX(I32,I33)</f>
        <v/>
      </c>
      <c r="J34" s="21">
        <f>MAX(J32,J33)</f>
        <v/>
      </c>
      <c r="K34" s="21">
        <f>MAX(K32,K33)</f>
        <v/>
      </c>
      <c r="L34" s="21">
        <f>MAX(L32,L33)</f>
        <v/>
      </c>
    </row>
    <row r="35">
      <c r="B35" s="8" t="inlineStr">
        <is>
          <t>Both checks clear?</t>
        </is>
      </c>
      <c r="C35" s="23">
        <f>IF(AND(C30&gt;=C32,C30&gt;=C33),"YES","No")</f>
        <v/>
      </c>
      <c r="D35" s="23">
        <f>IF(AND(D30&gt;=D32,D30&gt;=D33),"YES","No")</f>
        <v/>
      </c>
      <c r="E35" s="23">
        <f>IF(AND(E30&gt;=E32,E30&gt;=E33),"YES","No")</f>
        <v/>
      </c>
      <c r="F35" s="23">
        <f>IF(AND(F30&gt;=F32,F30&gt;=F33),"YES","No")</f>
        <v/>
      </c>
      <c r="G35" s="23">
        <f>IF(AND(G30&gt;=G32,G30&gt;=G33),"YES","No")</f>
        <v/>
      </c>
      <c r="H35" s="23">
        <f>IF(AND(H30&gt;=H32,H30&gt;=H33),"YES","No")</f>
        <v/>
      </c>
      <c r="I35" s="23">
        <f>IF(AND(I30&gt;=I32,I30&gt;=I33),"YES","No")</f>
        <v/>
      </c>
      <c r="J35" s="23">
        <f>IF(AND(J30&gt;=J32,J30&gt;=J33),"YES","No")</f>
        <v/>
      </c>
      <c r="K35" s="23">
        <f>IF(AND(K30&gt;=K32,K30&gt;=K33),"YES","No")</f>
        <v/>
      </c>
      <c r="L35" s="23">
        <f>IF(AND(L30&gt;=L32,L30&gt;=L33),"YES","No")</f>
        <v/>
      </c>
    </row>
    <row r="36">
      <c r="B36" s="9" t="inlineStr">
        <is>
          <t>Profit above benchmark</t>
        </is>
      </c>
      <c r="C36" s="21">
        <f>IF(C35="YES",MAX(0,C30-C34),0)</f>
        <v/>
      </c>
      <c r="D36" s="21">
        <f>IF(D35="YES",MAX(0,D30-D34),0)</f>
        <v/>
      </c>
      <c r="E36" s="21">
        <f>IF(E35="YES",MAX(0,E30-E34),0)</f>
        <v/>
      </c>
      <c r="F36" s="21">
        <f>IF(F35="YES",MAX(0,F30-F34),0)</f>
        <v/>
      </c>
      <c r="G36" s="21">
        <f>IF(G35="YES",MAX(0,G30-G34),0)</f>
        <v/>
      </c>
      <c r="H36" s="21">
        <f>IF(H35="YES",MAX(0,H30-H34),0)</f>
        <v/>
      </c>
      <c r="I36" s="21">
        <f>IF(I35="YES",MAX(0,I30-I34),0)</f>
        <v/>
      </c>
      <c r="J36" s="21">
        <f>IF(J35="YES",MAX(0,J30-J34),0)</f>
        <v/>
      </c>
      <c r="K36" s="21">
        <f>IF(K35="YES",MAX(0,K30-K34),0)</f>
        <v/>
      </c>
      <c r="L36" s="21">
        <f>IF(L35="YES",MAX(0,L30-L34),0)</f>
        <v/>
      </c>
    </row>
    <row r="37">
      <c r="B37" s="9" t="inlineStr">
        <is>
          <t>Performance fee</t>
        </is>
      </c>
      <c r="C37" s="21">
        <f>C36*C27</f>
        <v/>
      </c>
      <c r="D37" s="21">
        <f>D36*D27</f>
        <v/>
      </c>
      <c r="E37" s="21">
        <f>E36*E27</f>
        <v/>
      </c>
      <c r="F37" s="21">
        <f>F36*F27</f>
        <v/>
      </c>
      <c r="G37" s="21">
        <f>G36*G27</f>
        <v/>
      </c>
      <c r="H37" s="21">
        <f>H36*H27</f>
        <v/>
      </c>
      <c r="I37" s="21">
        <f>I36*I27</f>
        <v/>
      </c>
      <c r="J37" s="21">
        <f>J36*J27</f>
        <v/>
      </c>
      <c r="K37" s="21">
        <f>K36*K27</f>
        <v/>
      </c>
      <c r="L37" s="21">
        <f>L36*L27</f>
        <v/>
      </c>
    </row>
    <row r="38">
      <c r="B38" s="8" t="inlineStr">
        <is>
          <t>END NAV (after all fees)</t>
        </is>
      </c>
      <c r="C38" s="24">
        <f>C30-C37</f>
        <v/>
      </c>
      <c r="D38" s="24">
        <f>D30-D37</f>
        <v/>
      </c>
      <c r="E38" s="24">
        <f>E30-E37</f>
        <v/>
      </c>
      <c r="F38" s="24">
        <f>F30-F37</f>
        <v/>
      </c>
      <c r="G38" s="24">
        <f>G30-G37</f>
        <v/>
      </c>
      <c r="H38" s="24">
        <f>H30-H37</f>
        <v/>
      </c>
      <c r="I38" s="24">
        <f>I30-I37</f>
        <v/>
      </c>
      <c r="J38" s="24">
        <f>J30-J37</f>
        <v/>
      </c>
      <c r="K38" s="24">
        <f>K30-K37</f>
        <v/>
      </c>
      <c r="L38" s="24">
        <f>L30-L37</f>
        <v/>
      </c>
    </row>
    <row r="39">
      <c r="B39" s="9" t="inlineStr">
        <is>
          <t>HWM end of year</t>
        </is>
      </c>
      <c r="C39" s="21">
        <f>IF(C35="YES",C38,C31)</f>
        <v/>
      </c>
      <c r="D39" s="21">
        <f>IF(D35="YES",D38,D31)</f>
        <v/>
      </c>
      <c r="E39" s="21">
        <f>IF(E35="YES",E38,E31)</f>
        <v/>
      </c>
      <c r="F39" s="21">
        <f>IF(F35="YES",F38,F31)</f>
        <v/>
      </c>
      <c r="G39" s="21">
        <f>IF(G35="YES",G38,G31)</f>
        <v/>
      </c>
      <c r="H39" s="21">
        <f>IF(H35="YES",H38,H31)</f>
        <v/>
      </c>
      <c r="I39" s="21">
        <f>IF(I35="YES",I38,I31)</f>
        <v/>
      </c>
      <c r="J39" s="21">
        <f>IF(J35="YES",J38,J31)</f>
        <v/>
      </c>
      <c r="K39" s="21">
        <f>IF(K35="YES",K38,K31)</f>
        <v/>
      </c>
      <c r="L39" s="21">
        <f>IF(L35="YES",L38,L31)</f>
        <v/>
      </c>
    </row>
    <row r="41">
      <c r="B41" s="5" t="inlineStr">
        <is>
          <t>04  ·  CUMULATIVE TOTALS</t>
        </is>
      </c>
    </row>
    <row r="42">
      <c r="B42" s="25" t="inlineStr">
        <is>
          <t>Mgmt + ops fees paid (cumulative)</t>
        </is>
      </c>
      <c r="C42" s="26">
        <f>IF($C$20&gt;=1,C29,"")</f>
        <v/>
      </c>
      <c r="D42" s="26">
        <f>IF($C$20&gt;=2,C42+D29,"")</f>
        <v/>
      </c>
      <c r="E42" s="26">
        <f>IF($C$20&gt;=3,D42+E29,"")</f>
        <v/>
      </c>
      <c r="F42" s="26">
        <f>IF($C$20&gt;=4,E42+F29,"")</f>
        <v/>
      </c>
      <c r="G42" s="26">
        <f>IF($C$20&gt;=5,F42+G29,"")</f>
        <v/>
      </c>
      <c r="H42" s="26">
        <f>IF($C$20&gt;=6,G42+H29,"")</f>
        <v/>
      </c>
      <c r="I42" s="26">
        <f>IF($C$20&gt;=7,H42+I29,"")</f>
        <v/>
      </c>
      <c r="J42" s="26">
        <f>IF($C$20&gt;=8,I42+J29,"")</f>
        <v/>
      </c>
      <c r="K42" s="26">
        <f>IF($C$20&gt;=9,J42+K29,"")</f>
        <v/>
      </c>
      <c r="L42" s="27">
        <f>IF($C$20&gt;=10,K42+L29,"")</f>
        <v/>
      </c>
    </row>
    <row r="43">
      <c r="B43" s="9" t="inlineStr">
        <is>
          <t>Performance fees paid (cumulative)</t>
        </is>
      </c>
      <c r="C43" s="27">
        <f>IF($C$20&gt;=1,C37,"")</f>
        <v/>
      </c>
      <c r="D43" s="27">
        <f>IF($C$20&gt;=2,C43+D37,"")</f>
        <v/>
      </c>
      <c r="E43" s="27">
        <f>IF($C$20&gt;=3,D43+E37,"")</f>
        <v/>
      </c>
      <c r="F43" s="27">
        <f>IF($C$20&gt;=4,E43+F37,"")</f>
        <v/>
      </c>
      <c r="G43" s="27">
        <f>IF($C$20&gt;=5,F43+G37,"")</f>
        <v/>
      </c>
      <c r="H43" s="27">
        <f>IF($C$20&gt;=6,G43+H37,"")</f>
        <v/>
      </c>
      <c r="I43" s="27">
        <f>IF($C$20&gt;=7,H43+I37,"")</f>
        <v/>
      </c>
      <c r="J43" s="27">
        <f>IF($C$20&gt;=8,I43+J37,"")</f>
        <v/>
      </c>
      <c r="K43" s="27">
        <f>IF($C$20&gt;=9,J43+K37,"")</f>
        <v/>
      </c>
      <c r="L43" s="27">
        <f>IF($C$20&gt;=10,K43+L37,"")</f>
        <v/>
      </c>
    </row>
    <row r="44">
      <c r="B44" s="8" t="inlineStr">
        <is>
          <t>TOTAL FEES paid</t>
        </is>
      </c>
      <c r="C44" s="28">
        <f>IF($C$20&gt;=1,C42+C43,"")</f>
        <v/>
      </c>
      <c r="D44" s="28">
        <f>IF($C$20&gt;=2,D42+D43,"")</f>
        <v/>
      </c>
      <c r="E44" s="28">
        <f>IF($C$20&gt;=3,E42+E43,"")</f>
        <v/>
      </c>
      <c r="F44" s="28">
        <f>IF($C$20&gt;=4,F42+F43,"")</f>
        <v/>
      </c>
      <c r="G44" s="28">
        <f>IF($C$20&gt;=5,G42+G43,"")</f>
        <v/>
      </c>
      <c r="H44" s="28">
        <f>IF($C$20&gt;=6,H42+H43,"")</f>
        <v/>
      </c>
      <c r="I44" s="28">
        <f>IF($C$20&gt;=7,I42+I43,"")</f>
        <v/>
      </c>
      <c r="J44" s="28">
        <f>IF($C$20&gt;=8,J42+J43,"")</f>
        <v/>
      </c>
      <c r="K44" s="28">
        <f>IF($C$20&gt;=9,K42+K43,"")</f>
        <v/>
      </c>
      <c r="L44" s="28">
        <f>IF($C$20&gt;=10,L42+L43,"")</f>
        <v/>
      </c>
    </row>
    <row r="45">
      <c r="B45" s="29" t="inlineStr">
        <is>
          <t>Net CAGR (post-fee, USD)</t>
        </is>
      </c>
      <c r="C45" s="30">
        <f>IF($C$20&gt;=1,IFERROR((C38/$C$17)^(1/1)-1,""),"")</f>
        <v/>
      </c>
      <c r="D45" s="30">
        <f>IF($C$20&gt;=2,IFERROR((D38/$C$17)^(1/2)-1,""),"")</f>
        <v/>
      </c>
      <c r="E45" s="30">
        <f>IF($C$20&gt;=3,IFERROR((E38/$C$17)^(1/3)-1,""),"")</f>
        <v/>
      </c>
      <c r="F45" s="30">
        <f>IF($C$20&gt;=4,IFERROR((F38/$C$17)^(1/4)-1,""),"")</f>
        <v/>
      </c>
      <c r="G45" s="30">
        <f>IF($C$20&gt;=5,IFERROR((G38/$C$17)^(1/5)-1,""),"")</f>
        <v/>
      </c>
      <c r="H45" s="30">
        <f>IF($C$20&gt;=6,IFERROR((H38/$C$17)^(1/6)-1,""),"")</f>
        <v/>
      </c>
      <c r="I45" s="30">
        <f>IF($C$20&gt;=7,IFERROR((I38/$C$17)^(1/7)-1,""),"")</f>
        <v/>
      </c>
      <c r="J45" s="30">
        <f>IF($C$20&gt;=8,IFERROR((J38/$C$17)^(1/8)-1,""),"")</f>
        <v/>
      </c>
      <c r="K45" s="30">
        <f>IF($C$20&gt;=9,IFERROR((K38/$C$17)^(1/9)-1,""),"")</f>
        <v/>
      </c>
      <c r="L45" s="30">
        <f>IF($C$20&gt;=10,IFERROR((L38/$C$17)^(1/10)-1,""),"")</f>
        <v/>
      </c>
    </row>
    <row r="46">
      <c r="B46" s="29" t="inlineStr">
        <is>
          <t>Multiple on capital</t>
        </is>
      </c>
      <c r="C46" s="31">
        <f>IF($C$20&gt;=1,C38/$C$17,"")</f>
        <v/>
      </c>
      <c r="D46" s="31">
        <f>IF($C$20&gt;=2,D38/$C$17,"")</f>
        <v/>
      </c>
      <c r="E46" s="31">
        <f>IF($C$20&gt;=3,E38/$C$17,"")</f>
        <v/>
      </c>
      <c r="F46" s="31">
        <f>IF($C$20&gt;=4,F38/$C$17,"")</f>
        <v/>
      </c>
      <c r="G46" s="31">
        <f>IF($C$20&gt;=5,G38/$C$17,"")</f>
        <v/>
      </c>
      <c r="H46" s="31">
        <f>IF($C$20&gt;=6,H38/$C$17,"")</f>
        <v/>
      </c>
      <c r="I46" s="31">
        <f>IF($C$20&gt;=7,I38/$C$17,"")</f>
        <v/>
      </c>
      <c r="J46" s="31">
        <f>IF($C$20&gt;=8,J38/$C$17,"")</f>
        <v/>
      </c>
      <c r="K46" s="31">
        <f>IF($C$20&gt;=9,K38/$C$17,"")</f>
        <v/>
      </c>
      <c r="L46" s="31">
        <f>IF($C$20&gt;=10,L38/$C$17,"")</f>
        <v/>
      </c>
    </row>
    <row r="48">
      <c r="B48" s="5" t="inlineStr">
        <is>
          <t>05  ·  RESULT  ·  AT YOUR HORIZON</t>
        </is>
      </c>
    </row>
    <row r="49">
      <c r="B49" s="32" t="inlineStr">
        <is>
          <t>You committed</t>
        </is>
      </c>
      <c r="C49" s="33">
        <f>C17</f>
        <v/>
      </c>
      <c r="D49" s="7" t="n"/>
      <c r="E49" s="7" t="n"/>
      <c r="F49" s="7" t="n"/>
      <c r="G49" s="7" t="n"/>
      <c r="H49" s="7" t="n"/>
      <c r="I49" s="7" t="n"/>
      <c r="J49" s="7" t="n"/>
      <c r="K49" s="7" t="n"/>
    </row>
    <row r="50">
      <c r="B50" s="29" t="inlineStr">
        <is>
          <t>Net NAV at horizon</t>
        </is>
      </c>
      <c r="C50" s="34">
        <f>INDEX(C38:L38,1,C20)</f>
        <v/>
      </c>
    </row>
    <row r="51">
      <c r="B51" s="29" t="inlineStr">
        <is>
          <t>Net profit (after every fee)</t>
        </is>
      </c>
      <c r="C51" s="34">
        <f>C50-C49</f>
        <v/>
      </c>
    </row>
    <row r="52">
      <c r="B52" s="29" t="inlineStr">
        <is>
          <t>Net CAGR (post-fee, USD)</t>
        </is>
      </c>
      <c r="C52" s="35">
        <f>IFERROR((C50/C49)^(1/C20)-1,0)</f>
        <v/>
      </c>
    </row>
    <row r="53">
      <c r="B53" s="36" t="inlineStr">
        <is>
          <t>Multiple on capital</t>
        </is>
      </c>
      <c r="C53" s="37">
        <f>C50/C49</f>
        <v/>
      </c>
    </row>
    <row r="54">
      <c r="B54" s="38" t="inlineStr">
        <is>
          <t>Total fees paid</t>
        </is>
      </c>
      <c r="C54" s="39">
        <f>INDEX(C44:L44,1,C20)</f>
        <v/>
      </c>
    </row>
    <row r="57">
      <c r="B57" s="5" t="inlineStr">
        <is>
          <t>06  ·  HOW THE FEES WORK</t>
        </is>
      </c>
    </row>
    <row r="58">
      <c r="B58" s="40" t="inlineStr">
        <is>
          <t>1.  Commitment determines share class: A (USD 250k-500k), B (USD 500k-1m), C (USD 1m+). Larger commitments enjoy a lower performance fee.</t>
        </is>
      </c>
      <c r="C58" s="41" t="n"/>
      <c r="D58" s="41" t="n"/>
      <c r="E58" s="41" t="n"/>
      <c r="F58" s="41" t="n"/>
      <c r="G58" s="41" t="n"/>
      <c r="H58" s="41" t="n"/>
      <c r="I58" s="41" t="n"/>
      <c r="J58" s="41" t="n"/>
      <c r="K58" s="41" t="n"/>
    </row>
    <row r="59">
      <c r="B59" s="42" t="inlineStr">
        <is>
          <t>2.  Management fee of 1.5% p.a. plus ~15-20 bps operational expenses are deducted from NAV every year.</t>
        </is>
      </c>
    </row>
    <row r="60">
      <c r="B60" s="42" t="inlineStr">
        <is>
          <t>3.  Performance fee is charged ONLY when two gates clear together:</t>
        </is>
      </c>
    </row>
    <row r="61">
      <c r="B61" s="42" t="inlineStr">
        <is>
          <t xml:space="preserve">       Check 1 — NAV reaches 2× the prevailing HWM</t>
        </is>
      </c>
    </row>
    <row r="62">
      <c r="B62" s="42" t="inlineStr">
        <is>
          <t xml:space="preserve">       Check 2 — NAV clears the compounded 6% USD hurdle since the last reset</t>
        </is>
      </c>
    </row>
    <row r="63">
      <c r="B63" s="42" t="inlineStr">
        <is>
          <t>4.  Fee equals (NAV − higher benchmark) × class carry rate. No GP catch-up. After crystallisation, HWM and hurdle reset to compound from the new NAV.</t>
        </is>
      </c>
    </row>
    <row r="64">
      <c r="B64" s="42" t="inlineStr">
        <is>
          <t>5.  On redemption before crystallisation, performance fee is computed on any NAV above the original commitment × hurdle benchmark.</t>
        </is>
      </c>
    </row>
    <row r="65">
      <c r="B65" s="42" t="inlineStr">
        <is>
          <t>6.  USD-denominated throughout. Annual stepping for clarity — actual fund accounting is monthly.</t>
        </is>
      </c>
    </row>
    <row r="67">
      <c r="B67" s="43" t="inlineStr">
        <is>
          <t>Equitree Capital Advisors Pvt. Ltd.  ·  Investment Manager  ·  Emerging Opportunities Fund (IFSC Category III AIF)  ·  Illustrative and pre-tax. Not investment advice.</t>
        </is>
      </c>
    </row>
  </sheetData>
  <mergeCells count="11">
    <mergeCell ref="B67:K67"/>
    <mergeCell ref="B63:K63"/>
    <mergeCell ref="B61:K61"/>
    <mergeCell ref="B58:K58"/>
    <mergeCell ref="B13:K13"/>
    <mergeCell ref="B65:K65"/>
    <mergeCell ref="B6:K6"/>
    <mergeCell ref="B62:K62"/>
    <mergeCell ref="B64:K64"/>
    <mergeCell ref="B59:K59"/>
    <mergeCell ref="B60:K60"/>
  </mergeCells>
  <conditionalFormatting sqref="C25:L39">
    <cfRule type="expression" priority="1" dxfId="0">
      <formula>ISNA(C25)</formula>
    </cfRule>
  </conditionalFormatting>
  <pageMargins left="0.4" right="0.4" top="0.5" bottom="0.5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2026-09-01T10:49:06Z</dcterms:created>
  <dcterms:modified xmlns:dcterms="http://purl.org/dc/terms/" xmlns:xsi="http://www.w3.org/2001/XMLSchema-instance" xsi:type="dcterms:W3CDTF">2026-09-01T10:49:06Z</dcterms:modified>
</cp:coreProperties>
</file>