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mulator" sheetId="1" state="visible" r:id="rId1"/>
    <sheet xmlns:r="http://schemas.openxmlformats.org/officeDocument/2006/relationships" name="How it works" sheetId="2" state="visible" r:id="rId2"/>
  </sheets>
  <definedNames>
    <definedName name="_xlnm.Print_Area" localSheetId="0">'Simulator'!$A$1:$N$83</definedName>
  </definedNames>
  <calcPr calcId="124519" fullCalcOnLoad="1"/>
</workbook>
</file>

<file path=xl/styles.xml><?xml version="1.0" encoding="utf-8"?>
<styleSheet xmlns="http://schemas.openxmlformats.org/spreadsheetml/2006/main">
  <numFmts count="7">
    <numFmt numFmtId="164" formatCode="₹#,##0.0 &quot;L&quot;"/>
    <numFmt numFmtId="165" formatCode="₹#,##0.00 &quot;Cr&quot;"/>
    <numFmt numFmtId="166" formatCode="0.00&quot;x&quot;"/>
    <numFmt numFmtId="167" formatCode="0.0%"/>
    <numFmt numFmtId="168" formatCode="₹#,##0.00 &quot;L&quot;"/>
    <numFmt numFmtId="169" formatCode="#,##0.0000"/>
    <numFmt numFmtId="170" formatCode="0.000000"/>
  </numFmts>
  <fonts count="38">
    <font>
      <name val="Calibri"/>
      <family val="2"/>
      <color theme="1"/>
      <sz val="11"/>
      <scheme val="minor"/>
    </font>
    <font>
      <name val="Calibri"/>
      <b val="1"/>
      <color rgb="000B1F2A"/>
      <sz val="17"/>
    </font>
    <font>
      <name val="Calibri"/>
      <color rgb="00556773"/>
      <sz val="9.5"/>
    </font>
    <font>
      <name val="Calibri"/>
      <b val="1"/>
      <color rgb="008C6335"/>
      <sz val="9"/>
    </font>
    <font>
      <name val="Calibri"/>
      <b val="1"/>
      <color rgb="00FFFFFF"/>
      <sz val="9"/>
    </font>
    <font>
      <name val="Calibri"/>
      <color rgb="000F1F28"/>
      <sz val="10"/>
    </font>
    <font>
      <name val="Calibri"/>
      <color rgb="000B1F2A"/>
      <sz val="10"/>
    </font>
    <font>
      <name val="Calibri"/>
      <b val="1"/>
      <color rgb="008C6335"/>
      <sz val="10"/>
    </font>
    <font>
      <name val="Calibri"/>
      <color rgb="006D28D9"/>
      <sz val="10"/>
    </font>
    <font>
      <name val="Calibri"/>
      <color rgb="00556773"/>
      <sz val="10"/>
    </font>
    <font>
      <name val="Calibri"/>
      <i val="1"/>
      <color rgb="00556773"/>
      <sz val="9"/>
    </font>
    <font>
      <name val="Calibri"/>
      <b val="1"/>
      <color rgb="000F1F28"/>
      <sz val="10"/>
    </font>
    <font>
      <name val="Calibri"/>
      <b val="1"/>
      <color rgb="005E4221"/>
      <sz val="11"/>
    </font>
    <font>
      <name val="Calibri"/>
      <b val="1"/>
      <color rgb="00B45309"/>
      <sz val="9.5"/>
    </font>
    <font>
      <name val="Calibri"/>
      <b val="1"/>
      <color rgb="00044F4F"/>
      <sz val="10"/>
    </font>
    <font>
      <name val="Calibri"/>
      <b val="1"/>
      <color rgb="00044F4F"/>
      <sz val="12"/>
    </font>
    <font>
      <name val="Calibri"/>
      <b val="1"/>
      <color rgb="00066C6C"/>
      <sz val="10"/>
    </font>
    <font>
      <name val="Calibri"/>
      <b val="1"/>
      <color rgb="00066C6C"/>
      <sz val="10.5"/>
    </font>
    <font>
      <name val="Calibri"/>
      <b val="1"/>
      <color rgb="000B1F2A"/>
      <sz val="10"/>
    </font>
    <font>
      <name val="Calibri"/>
      <b val="1"/>
      <color rgb="000B1F2A"/>
      <sz val="10.5"/>
    </font>
    <font>
      <name val="Calibri"/>
      <b val="1"/>
      <color rgb="00044F4F"/>
      <sz val="10.5"/>
    </font>
    <font>
      <name val="Calibri"/>
      <b val="1"/>
      <color rgb="00556773"/>
      <sz val="10"/>
    </font>
    <font>
      <name val="Calibri"/>
      <b val="1"/>
      <color rgb="00556773"/>
      <sz val="10.5"/>
    </font>
    <font>
      <name val="Calibri"/>
      <color rgb="000B1F2A"/>
      <sz val="10.5"/>
    </font>
    <font>
      <name val="Calibri"/>
      <b val="1"/>
      <color rgb="008C6335"/>
      <sz val="10.5"/>
    </font>
    <font>
      <name val="Calibri"/>
      <b val="1"/>
      <color rgb="005E4221"/>
      <sz val="10"/>
    </font>
    <font>
      <name val="Calibri"/>
      <b val="1"/>
      <color rgb="005E4221"/>
      <sz val="10.5"/>
    </font>
    <font>
      <name val="Calibri"/>
      <color rgb="00B45309"/>
      <sz val="10"/>
    </font>
    <font>
      <name val="Calibri"/>
      <color rgb="00B45309"/>
      <sz val="10.5"/>
    </font>
    <font>
      <name val="Calibri"/>
      <b val="1"/>
      <color rgb="00FFFFFF"/>
      <sz val="9.5"/>
    </font>
    <font>
      <name val="Calibri"/>
      <color rgb="00066C6C"/>
      <sz val="10"/>
    </font>
    <font>
      <name val="Calibri"/>
      <b val="1"/>
      <color rgb="00B45309"/>
      <sz val="10"/>
    </font>
    <font>
      <name val="Calibri"/>
      <color rgb="008C6335"/>
      <sz val="10"/>
    </font>
    <font>
      <name val="Calibri"/>
      <color rgb="00556773"/>
      <sz val="9"/>
    </font>
    <font>
      <name val="Calibri"/>
      <color rgb="00556773"/>
      <sz val="8"/>
    </font>
    <font>
      <name val="Calibri"/>
      <b val="1"/>
      <color rgb="00556773"/>
      <sz val="9"/>
    </font>
    <font>
      <name val="Calibri"/>
      <b val="1"/>
      <color rgb="000B1F2A"/>
      <sz val="16"/>
    </font>
    <font>
      <name val="Calibri"/>
      <color rgb="008C6335"/>
      <sz val="9"/>
    </font>
  </fonts>
  <fills count="9">
    <fill>
      <patternFill/>
    </fill>
    <fill>
      <patternFill patternType="gray125"/>
    </fill>
    <fill>
      <patternFill patternType="solid">
        <fgColor rgb="000B1F2A"/>
      </patternFill>
    </fill>
    <fill>
      <patternFill patternType="solid">
        <fgColor rgb="00FAFAF7"/>
      </patternFill>
    </fill>
    <fill>
      <patternFill patternType="solid">
        <fgColor rgb="00FFF5DF"/>
      </patternFill>
    </fill>
    <fill>
      <patternFill patternType="solid">
        <fgColor rgb="00F5EEDF"/>
      </patternFill>
    </fill>
    <fill>
      <patternFill patternType="solid">
        <fgColor rgb="008C6335"/>
      </patternFill>
    </fill>
    <fill>
      <patternFill patternType="solid">
        <fgColor rgb="00044F4F"/>
      </patternFill>
    </fill>
    <fill>
      <patternFill patternType="solid">
        <fgColor rgb="00F4F1EB"/>
      </patternFill>
    </fill>
  </fills>
  <borders count="6">
    <border>
      <left/>
      <right/>
      <top/>
      <bottom/>
      <diagonal/>
    </border>
    <border>
      <bottom style="medium">
        <color rgb="00B8894D"/>
      </bottom>
    </border>
    <border>
      <bottom style="thin">
        <color rgb="00E8E6E0"/>
      </bottom>
    </border>
    <border>
      <left style="thin">
        <color rgb="00EFEDE7"/>
      </left>
      <right style="thin">
        <color rgb="00EFEDE7"/>
      </right>
      <top style="thin">
        <color rgb="00EFEDE7"/>
      </top>
      <bottom style="thin">
        <color rgb="00EFEDE7"/>
      </bottom>
    </border>
    <border>
      <left style="thin">
        <color rgb="00B8894D"/>
      </left>
      <right style="thin">
        <color rgb="00B8894D"/>
      </right>
      <top style="thin">
        <color rgb="00B8894D"/>
      </top>
      <bottom style="thin">
        <color rgb="00B8894D"/>
      </bottom>
    </border>
    <border>
      <top style="thin">
        <color rgb="00B8894D"/>
      </top>
    </border>
  </borders>
  <cellStyleXfs count="1">
    <xf numFmtId="0" fontId="0" fillId="0" borderId="0"/>
  </cellStyleXfs>
  <cellXfs count="71">
    <xf numFmtId="0" fontId="0" fillId="0" borderId="0" pivotButton="0" quotePrefix="0" xfId="0"/>
    <xf numFmtId="0" fontId="1" fillId="0" borderId="0" applyAlignment="1" pivotButton="0" quotePrefix="0" xfId="0">
      <alignment vertical="center"/>
    </xf>
    <xf numFmtId="0" fontId="2" fillId="0" borderId="0" applyAlignment="1" pivotButton="0" quotePrefix="0" xfId="0">
      <alignment vertical="top"/>
    </xf>
    <xf numFmtId="0" fontId="0" fillId="0" borderId="1" pivotButton="0" quotePrefix="0" xfId="0"/>
    <xf numFmtId="0" fontId="3" fillId="0" borderId="2" applyAlignment="1" pivotButton="0" quotePrefix="0" xfId="0">
      <alignment vertical="center"/>
    </xf>
    <xf numFmtId="0" fontId="0" fillId="0" borderId="2" pivotButton="0" quotePrefix="0" xfId="0"/>
    <xf numFmtId="0" fontId="4" fillId="2" borderId="3" applyAlignment="1" pivotButton="0" quotePrefix="0" xfId="0">
      <alignment horizontal="center" vertical="center" wrapText="1"/>
    </xf>
    <xf numFmtId="0" fontId="5" fillId="0" borderId="3" applyAlignment="1" pivotButton="0" quotePrefix="0" xfId="0">
      <alignment horizontal="left" vertical="center"/>
    </xf>
    <xf numFmtId="10" fontId="6" fillId="0" borderId="3" applyAlignment="1" pivotButton="0" quotePrefix="0" xfId="0">
      <alignment horizontal="center" vertical="center"/>
    </xf>
    <xf numFmtId="10" fontId="7" fillId="0" borderId="3" applyAlignment="1" pivotButton="0" quotePrefix="0" xfId="0">
      <alignment horizontal="center" vertical="center"/>
    </xf>
    <xf numFmtId="10" fontId="8" fillId="0" borderId="3" applyAlignment="1" pivotButton="0" quotePrefix="0" xfId="0">
      <alignment horizontal="center" vertical="center"/>
    </xf>
    <xf numFmtId="49" fontId="9" fillId="0" borderId="3" applyAlignment="1" pivotButton="0" quotePrefix="0" xfId="0">
      <alignment horizontal="center" vertical="center"/>
    </xf>
    <xf numFmtId="0" fontId="5" fillId="3" borderId="3" applyAlignment="1" pivotButton="0" quotePrefix="0" xfId="0">
      <alignment horizontal="left" vertical="center"/>
    </xf>
    <xf numFmtId="10" fontId="6" fillId="3" borderId="3" applyAlignment="1" pivotButton="0" quotePrefix="0" xfId="0">
      <alignment horizontal="center" vertical="center"/>
    </xf>
    <xf numFmtId="10" fontId="7" fillId="3" borderId="3" applyAlignment="1" pivotButton="0" quotePrefix="0" xfId="0">
      <alignment horizontal="center" vertical="center"/>
    </xf>
    <xf numFmtId="10" fontId="8" fillId="3" borderId="3" applyAlignment="1" pivotButton="0" quotePrefix="0" xfId="0">
      <alignment horizontal="center" vertical="center"/>
    </xf>
    <xf numFmtId="49" fontId="9" fillId="3" borderId="3" applyAlignment="1" pivotButton="0" quotePrefix="0" xfId="0">
      <alignment horizontal="center" vertical="center"/>
    </xf>
    <xf numFmtId="0" fontId="10" fillId="0" borderId="0" applyAlignment="1" pivotButton="0" quotePrefix="0" xfId="0">
      <alignment horizontal="left" vertical="center"/>
    </xf>
    <xf numFmtId="0" fontId="11" fillId="0" borderId="0" applyAlignment="1" pivotButton="0" quotePrefix="0" xfId="0">
      <alignment horizontal="left" vertical="center"/>
    </xf>
    <xf numFmtId="3" fontId="12" fillId="4" borderId="4" applyAlignment="1" pivotButton="0" quotePrefix="0" xfId="0">
      <alignment horizontal="center" vertical="center"/>
    </xf>
    <xf numFmtId="10" fontId="12" fillId="4" borderId="4" applyAlignment="1" pivotButton="0" quotePrefix="0" xfId="0">
      <alignment horizontal="center" vertical="center"/>
    </xf>
    <xf numFmtId="1" fontId="12" fillId="4" borderId="4" applyAlignment="1" pivotButton="0" quotePrefix="0" xfId="0">
      <alignment horizontal="center" vertical="center"/>
    </xf>
    <xf numFmtId="10" fontId="10" fillId="0" borderId="0" applyAlignment="1" pivotButton="0" quotePrefix="0" xfId="0">
      <alignment horizontal="center"/>
    </xf>
    <xf numFmtId="0" fontId="13" fillId="0" borderId="0" pivotButton="0" quotePrefix="0" xfId="0"/>
    <xf numFmtId="164" fontId="15" fillId="5" borderId="3" applyAlignment="1" pivotButton="0" quotePrefix="0" xfId="0">
      <alignment horizontal="right" vertical="center"/>
    </xf>
    <xf numFmtId="0" fontId="5" fillId="0" borderId="0" applyAlignment="1" pivotButton="0" quotePrefix="0" xfId="0">
      <alignment horizontal="left" vertical="center"/>
    </xf>
    <xf numFmtId="164" fontId="23" fillId="0" borderId="3" applyAlignment="1" pivotButton="0" quotePrefix="0" xfId="0">
      <alignment horizontal="right" vertical="center"/>
    </xf>
    <xf numFmtId="165" fontId="17" fillId="0" borderId="3" applyAlignment="1" pivotButton="0" quotePrefix="0" xfId="0">
      <alignment horizontal="right" vertical="center"/>
    </xf>
    <xf numFmtId="166" fontId="19" fillId="0" borderId="3" applyAlignment="1" pivotButton="0" quotePrefix="0" xfId="0">
      <alignment horizontal="right" vertical="center"/>
    </xf>
    <xf numFmtId="164" fontId="24" fillId="0" borderId="3" applyAlignment="1" pivotButton="0" quotePrefix="0" xfId="0">
      <alignment horizontal="right" vertical="center"/>
    </xf>
    <xf numFmtId="10" fontId="20" fillId="0" borderId="3" applyAlignment="1" pivotButton="0" quotePrefix="0" xfId="0">
      <alignment horizontal="right" vertical="center"/>
    </xf>
    <xf numFmtId="164" fontId="26" fillId="0" borderId="3" applyAlignment="1" pivotButton="0" quotePrefix="0" xfId="0">
      <alignment horizontal="right" vertical="center"/>
    </xf>
    <xf numFmtId="10" fontId="22" fillId="0" borderId="3" applyAlignment="1" pivotButton="0" quotePrefix="0" xfId="0">
      <alignment horizontal="right" vertical="center"/>
    </xf>
    <xf numFmtId="167" fontId="28" fillId="0" borderId="3" applyAlignment="1" pivotButton="0" quotePrefix="0" xfId="0">
      <alignment horizontal="right" vertical="center"/>
    </xf>
    <xf numFmtId="0" fontId="29" fillId="2" borderId="3" applyAlignment="1" pivotButton="0" quotePrefix="0" xfId="0">
      <alignment horizontal="center" vertical="center"/>
    </xf>
    <xf numFmtId="0" fontId="29" fillId="6" borderId="3" applyAlignment="1" pivotButton="0" quotePrefix="0" xfId="0">
      <alignment horizontal="center" vertical="center"/>
    </xf>
    <xf numFmtId="0" fontId="29" fillId="7" borderId="3" applyAlignment="1" pivotButton="0" quotePrefix="0" xfId="0">
      <alignment horizontal="center" vertical="center"/>
    </xf>
    <xf numFmtId="164" fontId="6" fillId="0" borderId="3" applyAlignment="1" pivotButton="0" quotePrefix="0" xfId="0">
      <alignment horizontal="right" vertical="center"/>
    </xf>
    <xf numFmtId="164" fontId="6" fillId="8" borderId="3" applyAlignment="1" pivotButton="0" quotePrefix="0" xfId="0">
      <alignment horizontal="right" vertical="center"/>
    </xf>
    <xf numFmtId="164" fontId="30" fillId="0" borderId="3" applyAlignment="1" pivotButton="0" quotePrefix="0" xfId="0">
      <alignment horizontal="right" vertical="center"/>
    </xf>
    <xf numFmtId="164" fontId="16" fillId="8" borderId="3" applyAlignment="1" pivotButton="0" quotePrefix="0" xfId="0">
      <alignment horizontal="right" vertical="center"/>
    </xf>
    <xf numFmtId="168" fontId="27" fillId="0" borderId="3" applyAlignment="1" pivotButton="0" quotePrefix="0" xfId="0">
      <alignment horizontal="right" vertical="center"/>
    </xf>
    <xf numFmtId="168" fontId="6" fillId="0" borderId="3" applyAlignment="1" pivotButton="0" quotePrefix="0" xfId="0">
      <alignment horizontal="right" vertical="center"/>
    </xf>
    <xf numFmtId="168" fontId="31" fillId="8" borderId="3" applyAlignment="1" pivotButton="0" quotePrefix="0" xfId="0">
      <alignment horizontal="right" vertical="center"/>
    </xf>
    <xf numFmtId="164" fontId="18" fillId="0" borderId="3" applyAlignment="1" pivotButton="0" quotePrefix="0" xfId="0">
      <alignment horizontal="right" vertical="center"/>
    </xf>
    <xf numFmtId="164" fontId="9" fillId="0" borderId="3" applyAlignment="1" pivotButton="0" quotePrefix="0" xfId="0">
      <alignment horizontal="right" vertical="center"/>
    </xf>
    <xf numFmtId="164" fontId="8" fillId="0" borderId="3" applyAlignment="1" pivotButton="0" quotePrefix="0" xfId="0">
      <alignment horizontal="right" vertical="center"/>
    </xf>
    <xf numFmtId="49" fontId="6" fillId="0" borderId="3" applyAlignment="1" pivotButton="0" quotePrefix="0" xfId="0">
      <alignment horizontal="center" vertical="center"/>
    </xf>
    <xf numFmtId="49" fontId="6" fillId="8" borderId="3" applyAlignment="1" pivotButton="0" quotePrefix="0" xfId="0">
      <alignment horizontal="right" vertical="center"/>
    </xf>
    <xf numFmtId="10" fontId="32" fillId="0" borderId="3" applyAlignment="1" pivotButton="0" quotePrefix="0" xfId="0">
      <alignment horizontal="center" vertical="center"/>
    </xf>
    <xf numFmtId="10" fontId="6" fillId="8" borderId="3" applyAlignment="1" pivotButton="0" quotePrefix="0" xfId="0">
      <alignment horizontal="right" vertical="center"/>
    </xf>
    <xf numFmtId="168" fontId="31" fillId="0" borderId="3" applyAlignment="1" pivotButton="0" quotePrefix="0" xfId="0">
      <alignment horizontal="right" vertical="center"/>
    </xf>
    <xf numFmtId="0" fontId="14" fillId="5" borderId="0" applyAlignment="1" pivotButton="0" quotePrefix="0" xfId="0">
      <alignment horizontal="left" vertical="center"/>
    </xf>
    <xf numFmtId="164" fontId="14" fillId="5" borderId="3" applyAlignment="1" pivotButton="0" quotePrefix="0" xfId="0">
      <alignment horizontal="right" vertical="center"/>
    </xf>
    <xf numFmtId="10" fontId="6" fillId="0" borderId="3" applyAlignment="1" pivotButton="0" quotePrefix="0" xfId="0">
      <alignment horizontal="right" vertical="center"/>
    </xf>
    <xf numFmtId="10" fontId="18" fillId="8" borderId="3" applyAlignment="1" pivotButton="0" quotePrefix="0" xfId="0">
      <alignment horizontal="right" vertical="center"/>
    </xf>
    <xf numFmtId="0" fontId="33" fillId="0" borderId="0" applyAlignment="1" pivotButton="0" quotePrefix="0" xfId="0">
      <alignment horizontal="left" vertical="center"/>
    </xf>
    <xf numFmtId="0" fontId="34" fillId="0" borderId="0" applyAlignment="1" pivotButton="0" quotePrefix="0" xfId="0">
      <alignment horizontal="center"/>
    </xf>
    <xf numFmtId="164" fontId="0" fillId="0" borderId="0" pivotButton="0" quotePrefix="0" xfId="0"/>
    <xf numFmtId="0" fontId="35" fillId="0" borderId="0" applyAlignment="1" pivotButton="0" quotePrefix="0" xfId="0">
      <alignment horizontal="left" vertical="center"/>
    </xf>
    <xf numFmtId="1" fontId="33" fillId="0" borderId="0" pivotButton="0" quotePrefix="0" xfId="0"/>
    <xf numFmtId="169" fontId="33" fillId="0" borderId="0" pivotButton="0" quotePrefix="0" xfId="0"/>
    <xf numFmtId="10" fontId="33" fillId="0" borderId="0" pivotButton="0" quotePrefix="0" xfId="0"/>
    <xf numFmtId="170" fontId="33" fillId="0" borderId="0" pivotButton="0" quotePrefix="0" xfId="0"/>
    <xf numFmtId="0" fontId="36" fillId="0" borderId="0" pivotButton="0" quotePrefix="0" xfId="0"/>
    <xf numFmtId="0" fontId="2"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xf numFmtId="0" fontId="0" fillId="0" borderId="5" pivotButton="0" quotePrefix="0" xfId="0"/>
    <xf numFmtId="0" fontId="33" fillId="0" borderId="0" pivotButton="0" quotePrefix="0" xfId="0"/>
    <xf numFmtId="0" fontId="3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Portfolio value — net of fees vs gross</a:t>
            </a:r>
          </a:p>
        </rich>
      </tx>
    </title>
    <plotArea>
      <scatterChart>
        <ser>
          <idx val="0"/>
          <order val="0"/>
          <tx>
            <strRef>
              <f>'Simulator'!B59</f>
            </strRef>
          </tx>
          <spPr>
            <a:ln xmlns:a="http://schemas.openxmlformats.org/drawingml/2006/main" w="28000">
              <a:solidFill>
                <a:srgbClr val="066C6C"/>
              </a:solidFill>
              <a:prstDash val="solid"/>
            </a:ln>
          </spPr>
          <marker>
            <symbol val="none"/>
            <spPr>
              <a:ln xmlns:a="http://schemas.openxmlformats.org/drawingml/2006/main">
                <a:prstDash val="solid"/>
              </a:ln>
            </spPr>
          </marker>
          <xVal>
            <numRef>
              <f>'Simulator'!$C$62:$M$62</f>
            </numRef>
          </xVal>
          <yVal>
            <numRef>
              <f>'Simulator'!$C$59:$M$59</f>
            </numRef>
          </yVal>
          <smooth val="0"/>
        </ser>
        <ser>
          <idx val="1"/>
          <order val="1"/>
          <tx>
            <strRef>
              <f>'Simulator'!B60</f>
            </strRef>
          </tx>
          <spPr>
            <a:ln xmlns:a="http://schemas.openxmlformats.org/drawingml/2006/main" w="20000">
              <a:solidFill>
                <a:srgbClr val="556773"/>
              </a:solidFill>
              <a:prstDash val="sysDash"/>
            </a:ln>
          </spPr>
          <marker>
            <symbol val="none"/>
            <spPr>
              <a:ln xmlns:a="http://schemas.openxmlformats.org/drawingml/2006/main">
                <a:prstDash val="solid"/>
              </a:ln>
            </spPr>
          </marker>
          <xVal>
            <numRef>
              <f>'Simulator'!$C$62:$M$62</f>
            </numRef>
          </xVal>
          <yVal>
            <numRef>
              <f>'Simulator'!$C$60:$M$60</f>
            </numRef>
          </yVal>
          <smooth val="0"/>
        </ser>
        <ser>
          <idx val="2"/>
          <order val="2"/>
          <tx>
            <strRef>
              <f>'Simulator'!B61</f>
            </strRef>
          </tx>
          <spPr>
            <a:ln xmlns:a="http://schemas.openxmlformats.org/drawingml/2006/main" w="20000">
              <a:solidFill>
                <a:srgbClr val="B8894D"/>
              </a:solidFill>
              <a:prstDash val="dash"/>
            </a:ln>
          </spPr>
          <marker>
            <symbol val="none"/>
            <spPr>
              <a:ln xmlns:a="http://schemas.openxmlformats.org/drawingml/2006/main">
                <a:prstDash val="solid"/>
              </a:ln>
            </spPr>
          </marker>
          <xVal>
            <numRef>
              <f>'Simulator'!$C$62:$M$62</f>
            </numRef>
          </xVal>
          <yVal>
            <numRef>
              <f>'Simulator'!$C$61:$M$61</f>
            </numRef>
          </yVal>
          <smooth val="0"/>
        </ser>
        <axId val="10"/>
        <axId val="20"/>
      </scatterChart>
      <valAx>
        <axId val="10"/>
        <scaling>
          <orientation val="minMax"/>
          <max val="10"/>
          <min val="0"/>
        </scaling>
        <delete val="0"/>
        <axPos val="l"/>
        <title>
          <tx>
            <rich>
              <a:bodyPr xmlns:a="http://schemas.openxmlformats.org/drawingml/2006/main"/>
              <a:p xmlns:a="http://schemas.openxmlformats.org/drawingml/2006/main">
                <a:pPr>
                  <a:defRPr/>
                </a:pPr>
                <a:r>
                  <a:t>Year</a:t>
                </a:r>
              </a:p>
            </rich>
          </tx>
        </title>
        <majorTickMark val="none"/>
        <minorTickMark val="none"/>
        <spPr>
          <a:ln xmlns:a="http://schemas.openxmlformats.org/drawingml/2006/main" w="9000">
            <a:solidFill>
              <a:srgbClr val="E8E6E0"/>
            </a:solidFill>
            <a:prstDash val="solid"/>
          </a:ln>
        </spPr>
        <crossAx val="20"/>
        <majorUnit val="1"/>
      </valAx>
      <valAx>
        <axId val="20"/>
        <scaling>
          <orientation val="minMax"/>
        </scaling>
        <delete val="0"/>
        <axPos val="l"/>
        <majorGridlines>
          <spPr>
            <a:ln xmlns:a="http://schemas.openxmlformats.org/drawingml/2006/main" w="6000">
              <a:solidFill>
                <a:srgbClr val="EFEDE7"/>
              </a:solidFill>
              <a:prstDash val="solid"/>
            </a:ln>
          </spPr>
        </majorGridlines>
        <title>
          <tx>
            <rich>
              <a:bodyPr xmlns:a="http://schemas.openxmlformats.org/drawingml/2006/main"/>
              <a:p xmlns:a="http://schemas.openxmlformats.org/drawingml/2006/main">
                <a:pPr>
                  <a:defRPr/>
                </a:pPr>
                <a:r>
                  <a:t>₹ Lakhs</a:t>
                </a:r>
              </a:p>
            </rich>
          </tx>
        </title>
        <majorTickMark val="none"/>
        <minorTickMark val="none"/>
        <spPr>
          <a:ln xmlns:a="http://schemas.openxmlformats.org/drawingml/2006/main" w="9000">
            <a:solidFill>
              <a:srgbClr val="E8E6E0"/>
            </a:solidFill>
            <a:prstDash val="solid"/>
          </a:ln>
        </spPr>
        <crossAx val="10"/>
      </valAx>
    </plotArea>
    <legend>
      <legendPos val="r"/>
    </legend>
    <plotVisOnly val="0"/>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Where the fees go</a:t>
            </a:r>
          </a:p>
        </rich>
      </tx>
    </title>
    <plotArea>
      <barChart>
        <barDir val="col"/>
        <grouping val="clustered"/>
        <ser>
          <idx val="0"/>
          <order val="0"/>
          <tx>
            <v>Fees</v>
          </tx>
          <spPr>
            <a:solidFill xmlns:a="http://schemas.openxmlformats.org/drawingml/2006/main">
              <a:srgbClr val="B8894D"/>
            </a:solidFill>
            <a:ln xmlns:a="http://schemas.openxmlformats.org/drawingml/2006/main">
              <a:prstDash val="solid"/>
            </a:ln>
          </spPr>
          <cat>
            <numRef>
              <f>'Simulator'!$C$63:$E$63</f>
            </numRef>
          </cat>
          <val>
            <numRef>
              <f>'Simulator'!$C$64:$E$64</f>
            </numRef>
          </val>
        </ser>
        <dLbls>
          <showLegendKey val="0"/>
          <showVal val="1"/>
          <showCatName val="0"/>
          <showSerName val="0"/>
        </dLbls>
        <gapWidth val="150"/>
        <axId val="10"/>
        <axId val="100"/>
      </barChart>
      <catAx>
        <axId val="10"/>
        <scaling>
          <orientation val="minMax"/>
        </scaling>
        <delete val="0"/>
        <axPos val="l"/>
        <majorTickMark val="none"/>
        <minorTickMark val="none"/>
        <spPr>
          <a:ln xmlns:a="http://schemas.openxmlformats.org/drawingml/2006/main" w="9000">
            <a:solidFill>
              <a:srgbClr val="E8E6E0"/>
            </a:solidFill>
            <a:prstDash val="solid"/>
          </a:ln>
        </spPr>
        <crossAx val="100"/>
        <lblOffset val="100"/>
      </catAx>
      <valAx>
        <axId val="100"/>
        <scaling>
          <orientation val="minMax"/>
        </scaling>
        <delete val="0"/>
        <axPos val="l"/>
        <majorGridlines>
          <spPr>
            <a:ln xmlns:a="http://schemas.openxmlformats.org/drawingml/2006/main" w="6000">
              <a:solidFill>
                <a:srgbClr val="EFEDE7"/>
              </a:solidFill>
              <a:prstDash val="solid"/>
            </a:ln>
          </spPr>
        </majorGridlines>
        <title>
          <tx>
            <rich>
              <a:bodyPr xmlns:a="http://schemas.openxmlformats.org/drawingml/2006/main"/>
              <a:p xmlns:a="http://schemas.openxmlformats.org/drawingml/2006/main">
                <a:pPr>
                  <a:defRPr/>
                </a:pPr>
                <a:r>
                  <a:t>₹ Lakhs</a:t>
                </a:r>
              </a:p>
            </rich>
          </tx>
        </title>
        <majorTickMark val="none"/>
        <minorTickMark val="none"/>
        <spPr>
          <a:ln xmlns:a="http://schemas.openxmlformats.org/drawingml/2006/main" w="9000">
            <a:solidFill>
              <a:srgbClr val="E8E6E0"/>
            </a:solidFill>
            <a:prstDash val="solid"/>
          </a:ln>
        </spPr>
        <crossAx val="10"/>
      </valAx>
    </plotArea>
    <plotVisOnly val="0"/>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1.png" Id="rId3"/></Relationships>
</file>

<file path=xl/drawings/_rels/drawing2.xml.rels><Relationships xmlns="http://schemas.openxmlformats.org/package/2006/relationships"><Relationship Type="http://schemas.openxmlformats.org/officeDocument/2006/relationships/image" Target="/xl/media/image2.png" Id="rId1"/></Relationships>
</file>

<file path=xl/drawings/drawing1.xml><?xml version="1.0" encoding="utf-8"?>
<wsDr xmlns="http://schemas.openxmlformats.org/drawingml/2006/spreadsheetDrawing">
  <oneCellAnchor>
    <from>
      <col>1</col>
      <colOff>0</colOff>
      <row>63</row>
      <rowOff>0</rowOff>
    </from>
    <ext cx="7020000" cy="3096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63</row>
      <rowOff>0</rowOff>
    </from>
    <ext cx="3420000" cy="3096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200150" cy="4191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1</col>
      <colOff>0</colOff>
      <row>1</row>
      <rowOff>0</rowOff>
    </from>
    <ext cx="120015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B4:N154"/>
  <sheetViews>
    <sheetView showGridLines="0" workbookViewId="0">
      <selection activeCell="A1" sqref="A1"/>
    </sheetView>
  </sheetViews>
  <sheetFormatPr baseColWidth="8" defaultRowHeight="15"/>
  <cols>
    <col width="2.2" customWidth="1" min="1" max="1"/>
    <col width="40" customWidth="1" min="2" max="2"/>
    <col width="12.4" customWidth="1" min="3" max="3"/>
    <col width="12.4" customWidth="1" min="4" max="4"/>
    <col width="12.4" customWidth="1" min="5" max="5"/>
    <col width="12.4" customWidth="1" min="6" max="6"/>
    <col width="12.4" customWidth="1" min="7" max="7"/>
    <col width="12.4" customWidth="1" min="8" max="8"/>
    <col width="12.4" customWidth="1" min="9" max="9"/>
    <col width="12.4" customWidth="1" min="10" max="10"/>
    <col width="12.4" customWidth="1" min="11" max="11"/>
    <col width="12.4" customWidth="1" min="12" max="12"/>
    <col width="13.5" customWidth="1" min="13" max="13"/>
    <col width="14" customWidth="1" min="14" max="14"/>
    <col width="3" customWidth="1" min="15" max="15"/>
  </cols>
  <sheetData>
    <row r="1" ht="8" customHeight="1"/>
    <row r="2" ht="40" customHeight="1"/>
    <row r="3" ht="6" customHeight="1"/>
    <row r="4" ht="26" customHeight="1">
      <c r="B4" s="1" t="inlineStr">
        <is>
          <t>Emerging Opportunities PMS  ·  Fee Simulator  (Standard)</t>
        </is>
      </c>
    </row>
    <row r="5" ht="15" customHeight="1">
      <c r="B5" s="2" t="inlineStr">
        <is>
          <t>Projected portfolio value net of all fees. Tiered management (1.5% below ₹3 Cr, 1% at or above) plus tiered performance carry. 10% hurdle · 2× HWM crystallisation · all amounts in ₹ Lakhs.</t>
        </is>
      </c>
    </row>
    <row r="6" ht="6" customHeight="1">
      <c r="B6" s="3" t="n"/>
      <c r="C6" s="3" t="n"/>
      <c r="D6" s="3" t="n"/>
      <c r="E6" s="3" t="n"/>
      <c r="F6" s="3" t="n"/>
      <c r="G6" s="3" t="n"/>
      <c r="H6" s="3" t="n"/>
      <c r="I6" s="3" t="n"/>
      <c r="J6" s="3" t="n"/>
      <c r="K6" s="3" t="n"/>
      <c r="L6" s="3" t="n"/>
      <c r="M6" s="3" t="n"/>
      <c r="N6" s="3" t="n"/>
    </row>
    <row r="8" ht="22" customHeight="1">
      <c r="B8" s="4" t="inlineStr">
        <is>
          <t>01  ·  FEE STRUCTURE</t>
        </is>
      </c>
      <c r="C8" s="5" t="n"/>
      <c r="D8" s="5" t="n"/>
      <c r="E8" s="5" t="n"/>
      <c r="F8" s="5" t="n"/>
      <c r="G8" s="5" t="n"/>
      <c r="H8" s="5" t="n"/>
      <c r="I8" s="5" t="n"/>
      <c r="J8" s="5" t="n"/>
      <c r="K8" s="5" t="n"/>
      <c r="L8" s="5" t="n"/>
      <c r="M8" s="5" t="n"/>
      <c r="N8" s="5" t="n"/>
    </row>
    <row r="9" ht="24" customHeight="1">
      <c r="B9" s="6" t="inlineStr">
        <is>
          <t>AUM slab</t>
        </is>
      </c>
      <c r="C9" s="6" t="inlineStr">
        <is>
          <t>Management</t>
        </is>
      </c>
      <c r="D9" s="6" t="inlineStr">
        <is>
          <t>Performance</t>
        </is>
      </c>
      <c r="E9" s="6" t="inlineStr">
        <is>
          <t>Hurdle</t>
        </is>
      </c>
      <c r="F9" s="6" t="inlineStr">
        <is>
          <t>Crystallises</t>
        </is>
      </c>
      <c r="G9" s="6" t="inlineStr">
        <is>
          <t>Minimum ticket</t>
        </is>
      </c>
    </row>
    <row r="10">
      <c r="B10" s="7" t="inlineStr">
        <is>
          <t>₹1 Cr – ₹3 Cr</t>
        </is>
      </c>
      <c r="C10" s="8" t="n">
        <v>0.015</v>
      </c>
      <c r="D10" s="9" t="n">
        <v>0.2</v>
      </c>
      <c r="E10" s="10" t="n">
        <v>0.1</v>
      </c>
      <c r="F10" s="11" t="inlineStr">
        <is>
          <t>2× HWM or exit</t>
        </is>
      </c>
      <c r="G10" s="11" t="inlineStr">
        <is>
          <t>₹1 Cr</t>
        </is>
      </c>
    </row>
    <row r="11">
      <c r="B11" s="12" t="inlineStr">
        <is>
          <t>₹3 Cr – ₹10 Cr</t>
        </is>
      </c>
      <c r="C11" s="13" t="n">
        <v>0.01</v>
      </c>
      <c r="D11" s="14" t="n">
        <v>0.18</v>
      </c>
      <c r="E11" s="15" t="n">
        <v>0.1</v>
      </c>
      <c r="F11" s="16" t="inlineStr">
        <is>
          <t>2× HWM or exit</t>
        </is>
      </c>
      <c r="G11" s="16" t="inlineStr">
        <is>
          <t>₹1 Cr</t>
        </is>
      </c>
    </row>
    <row r="12">
      <c r="B12" s="7" t="inlineStr">
        <is>
          <t>₹10 Cr and above</t>
        </is>
      </c>
      <c r="C12" s="8" t="n">
        <v>0.01</v>
      </c>
      <c r="D12" s="9" t="n">
        <v>0.15</v>
      </c>
      <c r="E12" s="10" t="n">
        <v>0.1</v>
      </c>
      <c r="F12" s="11" t="inlineStr">
        <is>
          <t>2× HWM or exit</t>
        </is>
      </c>
      <c r="G12" s="11" t="inlineStr">
        <is>
          <t>₹1 Cr</t>
        </is>
      </c>
    </row>
    <row r="14" ht="16" customHeight="1">
      <c r="B14" s="17" t="inlineStr">
        <is>
          <t>Operational charges of 0.20% p.a. (custody + administration) apply on top. Performance fee crystallises only when the portfolio reaches 2× the high-water mark AND has cleared the compounded 10% hurdle — otherwise it is taken on exit.</t>
        </is>
      </c>
    </row>
    <row r="17" ht="22" customHeight="1">
      <c r="B17" s="4" t="inlineStr">
        <is>
          <t>02  ·  YOUR ASSUMPTIONS      (edit the shaded cells)</t>
        </is>
      </c>
      <c r="C17" s="5" t="n"/>
      <c r="D17" s="5" t="n"/>
      <c r="E17" s="5" t="n"/>
      <c r="F17" s="5" t="n"/>
      <c r="G17" s="5" t="n"/>
      <c r="H17" s="5" t="n"/>
      <c r="I17" s="5" t="n"/>
      <c r="J17" s="5" t="n"/>
      <c r="K17" s="5" t="n"/>
      <c r="L17" s="5" t="n"/>
      <c r="M17" s="5" t="n"/>
      <c r="N17" s="5" t="n"/>
    </row>
    <row r="19">
      <c r="B19" s="18" t="inlineStr">
        <is>
          <t>Initial investment  (₹ Lakhs)</t>
        </is>
      </c>
      <c r="C19" s="19" t="n">
        <v>500</v>
      </c>
      <c r="D19" s="17" t="inlineStr">
        <is>
          <t>500 = ₹5 Cr</t>
        </is>
      </c>
    </row>
    <row r="20">
      <c r="B20" s="18" t="inlineStr">
        <is>
          <t>Expected gross annual return</t>
        </is>
      </c>
      <c r="C20" s="20" t="n">
        <v>0.25</v>
      </c>
      <c r="D20" s="17" t="inlineStr">
        <is>
          <t>Pre-fee CAGR assumption</t>
        </is>
      </c>
    </row>
    <row r="21">
      <c r="B21" s="18" t="inlineStr">
        <is>
          <t>Investment horizon  (years)</t>
        </is>
      </c>
      <c r="C21" s="21" t="n">
        <v>7</v>
      </c>
      <c r="D21" s="17" t="inlineStr">
        <is>
          <t>1 to 10</t>
        </is>
      </c>
    </row>
    <row r="22">
      <c r="B22" s="18" t="inlineStr">
        <is>
          <t>Operational charges  (p.a.)</t>
        </is>
      </c>
      <c r="C22" s="20" t="n">
        <v>0.002</v>
      </c>
      <c r="D22" s="17" t="inlineStr">
        <is>
          <t>Custody + administration</t>
        </is>
      </c>
    </row>
    <row r="23">
      <c r="B23" s="17" t="inlineStr">
        <is>
          <t>Management fee at this investment</t>
        </is>
      </c>
      <c r="C23" s="22">
        <f>IF($C$19&gt;=300,0.01,0.015)</f>
        <v/>
      </c>
      <c r="D23" s="17" t="inlineStr">
        <is>
          <t>For information — re-tiers automatically each year as AUM changes</t>
        </is>
      </c>
    </row>
    <row r="25">
      <c r="B25" s="17" t="inlineStr">
        <is>
          <t>Hurdle rate</t>
        </is>
      </c>
      <c r="C25" s="22" t="n">
        <v>0.1</v>
      </c>
      <c r="D25" s="17" t="inlineStr">
        <is>
          <t>Compounded from the last crystallisation</t>
        </is>
      </c>
    </row>
    <row r="26" ht="15" customHeight="1">
      <c r="B26" s="23">
        <f>IF($C$19&lt;100,"⚠  The PMS minimum ticket is ₹1 Cr (100 L).","")</f>
        <v/>
      </c>
    </row>
    <row r="28" ht="22" customHeight="1">
      <c r="B28" s="4" t="inlineStr">
        <is>
          <t>03  ·  HEADLINE</t>
        </is>
      </c>
      <c r="C28" s="5" t="n"/>
      <c r="D28" s="5" t="n"/>
      <c r="E28" s="5" t="n"/>
      <c r="F28" s="5" t="n"/>
      <c r="G28" s="5" t="n"/>
      <c r="H28" s="5" t="n"/>
      <c r="I28" s="5" t="n"/>
      <c r="J28" s="5" t="n"/>
      <c r="K28" s="5" t="n"/>
      <c r="L28" s="5" t="n"/>
      <c r="M28" s="5" t="n"/>
      <c r="N28" s="5" t="n"/>
    </row>
    <row r="30">
      <c r="B30" s="18" t="inlineStr">
        <is>
          <t>Portfolio at exit  (net of all fees)</t>
        </is>
      </c>
      <c r="C30" s="24">
        <f>$C$154</f>
        <v/>
      </c>
      <c r="F30" s="25" t="inlineStr">
        <is>
          <t>Total management fees</t>
        </is>
      </c>
      <c r="I30" s="26">
        <f>SUMIF($C$120:$L$120,"&lt;="&amp;$C$21,$C$139:$L$139)</f>
        <v/>
      </c>
    </row>
    <row r="31">
      <c r="B31" s="25" t="inlineStr">
        <is>
          <t>Value in ₹ Crore</t>
        </is>
      </c>
      <c r="C31" s="27">
        <f>$C$154/100</f>
        <v/>
      </c>
      <c r="F31" s="25" t="inlineStr">
        <is>
          <t>Total operational charges</t>
        </is>
      </c>
      <c r="I31" s="26">
        <f>SUMIF($C$120:$L$120,"&lt;="&amp;$C$21,$C$140:$L$140)</f>
        <v/>
      </c>
    </row>
    <row r="32">
      <c r="B32" s="18" t="inlineStr">
        <is>
          <t>Money multiple</t>
        </is>
      </c>
      <c r="C32" s="28">
        <f>$C$154/$C$19</f>
        <v/>
      </c>
      <c r="F32" s="18" t="inlineStr">
        <is>
          <t>Total performance fees</t>
        </is>
      </c>
      <c r="I32" s="29">
        <f>SUMIF($C$120:$L$120,"&lt;="&amp;$C$21,$C$136:$L$136)+$C$153</f>
        <v/>
      </c>
    </row>
    <row r="33">
      <c r="B33" s="18" t="inlineStr">
        <is>
          <t>Net CAGR  (after fees)</t>
        </is>
      </c>
      <c r="C33" s="30">
        <f>($C$154/$C$19)^(1/$C$21)-1</f>
        <v/>
      </c>
      <c r="F33" s="18" t="inlineStr">
        <is>
          <t>Total fees paid</t>
        </is>
      </c>
      <c r="I33" s="31">
        <f>SUMIF($C$120:$L$120,"&lt;="&amp;$C$21,$C$139:$L$139)+SUMIF($C$120:$L$120,"&lt;="&amp;$C$21,$C$140:$L$140)+SUMIF($C$120:$L$120,"&lt;="&amp;$C$21,$C$136:$L$136)+$C$153</f>
        <v/>
      </c>
    </row>
    <row r="34">
      <c r="B34" s="25" t="inlineStr">
        <is>
          <t>Gross CAGR  (before fees)</t>
        </is>
      </c>
      <c r="C34" s="32">
        <f>(INDEX($C$141:$L$141,$C$21)/$C$19)^(1/$C$21)-1</f>
        <v/>
      </c>
      <c r="F34" s="25" t="inlineStr">
        <is>
          <t>Fee drag vs a no-fee portfolio</t>
        </is>
      </c>
      <c r="I34" s="33">
        <f>(INDEX($C$141:$L$141,$C$21)-$C$154)/INDEX($C$141:$L$141,$C$21)</f>
        <v/>
      </c>
    </row>
    <row r="37" ht="22" customHeight="1">
      <c r="B37" s="4" t="inlineStr">
        <is>
          <t>04  ·  YEAR-BY-YEAR PROJECTION      ·      ₹ Lakhs</t>
        </is>
      </c>
      <c r="C37" s="5" t="n"/>
      <c r="D37" s="5" t="n"/>
      <c r="E37" s="5" t="n"/>
      <c r="F37" s="5" t="n"/>
      <c r="G37" s="5" t="n"/>
      <c r="H37" s="5" t="n"/>
      <c r="I37" s="5" t="n"/>
      <c r="J37" s="5" t="n"/>
      <c r="K37" s="5" t="n"/>
      <c r="L37" s="5" t="n"/>
      <c r="M37" s="5" t="n"/>
      <c r="N37" s="5" t="n"/>
    </row>
    <row r="38" ht="22" customHeight="1">
      <c r="B38" s="25" t="inlineStr"/>
      <c r="C38" s="34" t="inlineStr">
        <is>
          <t>Year 1</t>
        </is>
      </c>
      <c r="D38" s="34" t="inlineStr">
        <is>
          <t>Year 2</t>
        </is>
      </c>
      <c r="E38" s="34" t="inlineStr">
        <is>
          <t>Year 3</t>
        </is>
      </c>
      <c r="F38" s="34" t="inlineStr">
        <is>
          <t>Year 4</t>
        </is>
      </c>
      <c r="G38" s="34" t="inlineStr">
        <is>
          <t>Year 5</t>
        </is>
      </c>
      <c r="H38" s="34" t="inlineStr">
        <is>
          <t>Year 6</t>
        </is>
      </c>
      <c r="I38" s="34" t="inlineStr">
        <is>
          <t>Year 7</t>
        </is>
      </c>
      <c r="J38" s="34" t="inlineStr">
        <is>
          <t>Year 8</t>
        </is>
      </c>
      <c r="K38" s="34" t="inlineStr">
        <is>
          <t>Year 9</t>
        </is>
      </c>
      <c r="L38" s="34" t="inlineStr">
        <is>
          <t>Year 10</t>
        </is>
      </c>
      <c r="M38" s="35" t="inlineStr">
        <is>
          <t>On exit</t>
        </is>
      </c>
      <c r="N38" s="36" t="inlineStr">
        <is>
          <t>Total</t>
        </is>
      </c>
    </row>
    <row r="39" ht="16" customHeight="1">
      <c r="B39" s="25" t="inlineStr">
        <is>
          <t>Opening portfolio</t>
        </is>
      </c>
      <c r="C39" s="37">
        <f>IF(1&lt;=$C$21,C121,"")</f>
        <v/>
      </c>
      <c r="D39" s="37">
        <f>IF(2&lt;=$C$21,D121,"")</f>
        <v/>
      </c>
      <c r="E39" s="37">
        <f>IF(3&lt;=$C$21,E121,"")</f>
        <v/>
      </c>
      <c r="F39" s="37">
        <f>IF(4&lt;=$C$21,F121,"")</f>
        <v/>
      </c>
      <c r="G39" s="37">
        <f>IF(5&lt;=$C$21,G121,"")</f>
        <v/>
      </c>
      <c r="H39" s="37">
        <f>IF(6&lt;=$C$21,H121,"")</f>
        <v/>
      </c>
      <c r="I39" s="37">
        <f>IF(7&lt;=$C$21,I121,"")</f>
        <v/>
      </c>
      <c r="J39" s="37">
        <f>IF(8&lt;=$C$21,J121,"")</f>
        <v/>
      </c>
      <c r="K39" s="37">
        <f>IF(9&lt;=$C$21,K121,"")</f>
        <v/>
      </c>
      <c r="L39" s="37">
        <f>IF(10&lt;=$C$21,L121,"")</f>
        <v/>
      </c>
      <c r="M39" s="37">
        <f>$C$145</f>
        <v/>
      </c>
      <c r="N39" s="38" t="n"/>
    </row>
    <row r="40" ht="16" customHeight="1">
      <c r="B40" s="25" t="inlineStr">
        <is>
          <t>Growth at gross return</t>
        </is>
      </c>
      <c r="C40" s="39">
        <f>IF(1&lt;=$C$21,C130+C131-C121,"")</f>
        <v/>
      </c>
      <c r="D40" s="39">
        <f>IF(2&lt;=$C$21,D130+D131-D121,"")</f>
        <v/>
      </c>
      <c r="E40" s="39">
        <f>IF(3&lt;=$C$21,E130+E131-E121,"")</f>
        <v/>
      </c>
      <c r="F40" s="39">
        <f>IF(4&lt;=$C$21,F130+F131-F121,"")</f>
        <v/>
      </c>
      <c r="G40" s="39">
        <f>IF(5&lt;=$C$21,G130+G131-G121,"")</f>
        <v/>
      </c>
      <c r="H40" s="39">
        <f>IF(6&lt;=$C$21,H130+H131-H121,"")</f>
        <v/>
      </c>
      <c r="I40" s="39">
        <f>IF(7&lt;=$C$21,I130+I131-I121,"")</f>
        <v/>
      </c>
      <c r="J40" s="39">
        <f>IF(8&lt;=$C$21,J130+J131-J121,"")</f>
        <v/>
      </c>
      <c r="K40" s="39">
        <f>IF(9&lt;=$C$21,K130+K131-K121,"")</f>
        <v/>
      </c>
      <c r="L40" s="39">
        <f>IF(10&lt;=$C$21,L130+L131-L121,"")</f>
        <v/>
      </c>
      <c r="M40" s="37" t="n"/>
      <c r="N40" s="40">
        <f>SUMIF($C$120:$L$120,"&lt;="&amp;$C$21,$C$130:$L$130)+SUMIF($C$120:$L$120,"&lt;="&amp;$C$21,$C$131:$L$131)-SUMIF($C$120:$L$120,"&lt;="&amp;$C$21,$C$121:$L$121)</f>
        <v/>
      </c>
    </row>
    <row r="41" ht="16" customHeight="1">
      <c r="B41" s="25" t="inlineStr">
        <is>
          <t>Less: management fee</t>
        </is>
      </c>
      <c r="C41" s="41">
        <f>IF(1&lt;=$C$21,-C139,"")</f>
        <v/>
      </c>
      <c r="D41" s="41">
        <f>IF(2&lt;=$C$21,-D139,"")</f>
        <v/>
      </c>
      <c r="E41" s="41">
        <f>IF(3&lt;=$C$21,-E139,"")</f>
        <v/>
      </c>
      <c r="F41" s="41">
        <f>IF(4&lt;=$C$21,-F139,"")</f>
        <v/>
      </c>
      <c r="G41" s="41">
        <f>IF(5&lt;=$C$21,-G139,"")</f>
        <v/>
      </c>
      <c r="H41" s="41">
        <f>IF(6&lt;=$C$21,-H139,"")</f>
        <v/>
      </c>
      <c r="I41" s="41">
        <f>IF(7&lt;=$C$21,-I139,"")</f>
        <v/>
      </c>
      <c r="J41" s="41">
        <f>IF(8&lt;=$C$21,-J139,"")</f>
        <v/>
      </c>
      <c r="K41" s="41">
        <f>IF(9&lt;=$C$21,-K139,"")</f>
        <v/>
      </c>
      <c r="L41" s="41">
        <f>IF(10&lt;=$C$21,-L139,"")</f>
        <v/>
      </c>
      <c r="M41" s="42" t="n"/>
      <c r="N41" s="43">
        <f>-SUMIF($C$120:$L$120,"&lt;="&amp;$C$21,$C$139:$L$139)</f>
        <v/>
      </c>
    </row>
    <row r="42" ht="16" customHeight="1">
      <c r="B42" s="25" t="inlineStr">
        <is>
          <t>Less: operational charges</t>
        </is>
      </c>
      <c r="C42" s="41">
        <f>IF(1&lt;=$C$21,-C140,"")</f>
        <v/>
      </c>
      <c r="D42" s="41">
        <f>IF(2&lt;=$C$21,-D140,"")</f>
        <v/>
      </c>
      <c r="E42" s="41">
        <f>IF(3&lt;=$C$21,-E140,"")</f>
        <v/>
      </c>
      <c r="F42" s="41">
        <f>IF(4&lt;=$C$21,-F140,"")</f>
        <v/>
      </c>
      <c r="G42" s="41">
        <f>IF(5&lt;=$C$21,-G140,"")</f>
        <v/>
      </c>
      <c r="H42" s="41">
        <f>IF(6&lt;=$C$21,-H140,"")</f>
        <v/>
      </c>
      <c r="I42" s="41">
        <f>IF(7&lt;=$C$21,-I140,"")</f>
        <v/>
      </c>
      <c r="J42" s="41">
        <f>IF(8&lt;=$C$21,-J140,"")</f>
        <v/>
      </c>
      <c r="K42" s="41">
        <f>IF(9&lt;=$C$21,-K140,"")</f>
        <v/>
      </c>
      <c r="L42" s="41">
        <f>IF(10&lt;=$C$21,-L140,"")</f>
        <v/>
      </c>
      <c r="M42" s="42" t="n"/>
      <c r="N42" s="43">
        <f>-SUMIF($C$120:$L$120,"&lt;="&amp;$C$21,$C$140:$L$140)</f>
        <v/>
      </c>
    </row>
    <row r="43" ht="16" customHeight="1">
      <c r="B43" s="18" t="inlineStr">
        <is>
          <t>Value before performance fee</t>
        </is>
      </c>
      <c r="C43" s="44">
        <f>IF(1&lt;=$C$21,C130,"")</f>
        <v/>
      </c>
      <c r="D43" s="44">
        <f>IF(2&lt;=$C$21,D130,"")</f>
        <v/>
      </c>
      <c r="E43" s="44">
        <f>IF(3&lt;=$C$21,E130,"")</f>
        <v/>
      </c>
      <c r="F43" s="44">
        <f>IF(4&lt;=$C$21,F130,"")</f>
        <v/>
      </c>
      <c r="G43" s="44">
        <f>IF(5&lt;=$C$21,G130,"")</f>
        <v/>
      </c>
      <c r="H43" s="44">
        <f>IF(6&lt;=$C$21,H130,"")</f>
        <v/>
      </c>
      <c r="I43" s="44">
        <f>IF(7&lt;=$C$21,I130,"")</f>
        <v/>
      </c>
      <c r="J43" s="44">
        <f>IF(8&lt;=$C$21,J130,"")</f>
        <v/>
      </c>
      <c r="K43" s="44">
        <f>IF(9&lt;=$C$21,K130,"")</f>
        <v/>
      </c>
      <c r="L43" s="44">
        <f>IF(10&lt;=$C$21,L130,"")</f>
        <v/>
      </c>
      <c r="M43" s="44">
        <f>$C$145</f>
        <v/>
      </c>
      <c r="N43" s="38" t="n"/>
    </row>
    <row r="44" ht="16" customHeight="1">
      <c r="B44" s="25" t="inlineStr">
        <is>
          <t>High-water mark (start of year)</t>
        </is>
      </c>
      <c r="C44" s="45">
        <f>IF(1&lt;=$C$21,C122,"")</f>
        <v/>
      </c>
      <c r="D44" s="45">
        <f>IF(2&lt;=$C$21,D122,"")</f>
        <v/>
      </c>
      <c r="E44" s="45">
        <f>IF(3&lt;=$C$21,E122,"")</f>
        <v/>
      </c>
      <c r="F44" s="45">
        <f>IF(4&lt;=$C$21,F122,"")</f>
        <v/>
      </c>
      <c r="G44" s="45">
        <f>IF(5&lt;=$C$21,G122,"")</f>
        <v/>
      </c>
      <c r="H44" s="45">
        <f>IF(6&lt;=$C$21,H122,"")</f>
        <v/>
      </c>
      <c r="I44" s="45">
        <f>IF(7&lt;=$C$21,I122,"")</f>
        <v/>
      </c>
      <c r="J44" s="45">
        <f>IF(8&lt;=$C$21,J122,"")</f>
        <v/>
      </c>
      <c r="K44" s="45">
        <f>IF(9&lt;=$C$21,K122,"")</f>
        <v/>
      </c>
      <c r="L44" s="45">
        <f>IF(10&lt;=$C$21,L122,"")</f>
        <v/>
      </c>
      <c r="M44" s="45">
        <f>$C$147</f>
        <v/>
      </c>
      <c r="N44" s="38" t="n"/>
    </row>
    <row r="45" ht="16" customHeight="1">
      <c r="B45" s="25" t="inlineStr">
        <is>
          <t>2× HWM trigger level</t>
        </is>
      </c>
      <c r="C45" s="45">
        <f>IF(1&lt;=$C$21,2*C122,"")</f>
        <v/>
      </c>
      <c r="D45" s="45">
        <f>IF(2&lt;=$C$21,2*D122,"")</f>
        <v/>
      </c>
      <c r="E45" s="45">
        <f>IF(3&lt;=$C$21,2*E122,"")</f>
        <v/>
      </c>
      <c r="F45" s="45">
        <f>IF(4&lt;=$C$21,2*F122,"")</f>
        <v/>
      </c>
      <c r="G45" s="45">
        <f>IF(5&lt;=$C$21,2*G122,"")</f>
        <v/>
      </c>
      <c r="H45" s="45">
        <f>IF(6&lt;=$C$21,2*H122,"")</f>
        <v/>
      </c>
      <c r="I45" s="45">
        <f>IF(7&lt;=$C$21,2*I122,"")</f>
        <v/>
      </c>
      <c r="J45" s="45">
        <f>IF(8&lt;=$C$21,2*J122,"")</f>
        <v/>
      </c>
      <c r="K45" s="45">
        <f>IF(9&lt;=$C$21,2*K122,"")</f>
        <v/>
      </c>
      <c r="L45" s="45">
        <f>IF(10&lt;=$C$21,2*L122,"")</f>
        <v/>
      </c>
      <c r="M45" s="37" t="n"/>
      <c r="N45" s="38" t="n"/>
    </row>
    <row r="46" ht="16" customHeight="1">
      <c r="B46" s="25" t="inlineStr">
        <is>
          <t>Hurdle target (10% compounded)</t>
        </is>
      </c>
      <c r="C46" s="46">
        <f>IF(1&lt;=$C$21,C132,"")</f>
        <v/>
      </c>
      <c r="D46" s="46">
        <f>IF(2&lt;=$C$21,D132,"")</f>
        <v/>
      </c>
      <c r="E46" s="46">
        <f>IF(3&lt;=$C$21,E132,"")</f>
        <v/>
      </c>
      <c r="F46" s="46">
        <f>IF(4&lt;=$C$21,F132,"")</f>
        <v/>
      </c>
      <c r="G46" s="46">
        <f>IF(5&lt;=$C$21,G132,"")</f>
        <v/>
      </c>
      <c r="H46" s="46">
        <f>IF(6&lt;=$C$21,H132,"")</f>
        <v/>
      </c>
      <c r="I46" s="46">
        <f>IF(7&lt;=$C$21,I132,"")</f>
        <v/>
      </c>
      <c r="J46" s="46">
        <f>IF(8&lt;=$C$21,J132,"")</f>
        <v/>
      </c>
      <c r="K46" s="46">
        <f>IF(9&lt;=$C$21,K132,"")</f>
        <v/>
      </c>
      <c r="L46" s="46">
        <f>IF(10&lt;=$C$21,L132,"")</f>
        <v/>
      </c>
      <c r="M46" s="46">
        <f>$C$148</f>
        <v/>
      </c>
      <c r="N46" s="38" t="n"/>
    </row>
    <row r="47" ht="16" customHeight="1">
      <c r="B47" s="25" t="inlineStr">
        <is>
          <t>Fee benchmark — higher of HWM / hurdle</t>
        </is>
      </c>
      <c r="C47" s="45">
        <f>IF(1&lt;=$C$21,C134,"")</f>
        <v/>
      </c>
      <c r="D47" s="45">
        <f>IF(2&lt;=$C$21,D134,"")</f>
        <v/>
      </c>
      <c r="E47" s="45">
        <f>IF(3&lt;=$C$21,E134,"")</f>
        <v/>
      </c>
      <c r="F47" s="45">
        <f>IF(4&lt;=$C$21,F134,"")</f>
        <v/>
      </c>
      <c r="G47" s="45">
        <f>IF(5&lt;=$C$21,G134,"")</f>
        <v/>
      </c>
      <c r="H47" s="45">
        <f>IF(6&lt;=$C$21,H134,"")</f>
        <v/>
      </c>
      <c r="I47" s="45">
        <f>IF(7&lt;=$C$21,I134,"")</f>
        <v/>
      </c>
      <c r="J47" s="45">
        <f>IF(8&lt;=$C$21,J134,"")</f>
        <v/>
      </c>
      <c r="K47" s="45">
        <f>IF(9&lt;=$C$21,K134,"")</f>
        <v/>
      </c>
      <c r="L47" s="45">
        <f>IF(10&lt;=$C$21,L134,"")</f>
        <v/>
      </c>
      <c r="M47" s="45">
        <f>$C$149</f>
        <v/>
      </c>
      <c r="N47" s="38" t="n"/>
    </row>
    <row r="48" ht="16" customHeight="1">
      <c r="B48" s="25" t="inlineStr">
        <is>
          <t>Crystallised this year?</t>
        </is>
      </c>
      <c r="C48" s="47">
        <f>IF(1&lt;=$C$21,IF(C133=1,"YES","–"),"")</f>
        <v/>
      </c>
      <c r="D48" s="47">
        <f>IF(2&lt;=$C$21,IF(D133=1,"YES","–"),"")</f>
        <v/>
      </c>
      <c r="E48" s="47">
        <f>IF(3&lt;=$C$21,IF(E133=1,"YES","–"),"")</f>
        <v/>
      </c>
      <c r="F48" s="47">
        <f>IF(4&lt;=$C$21,IF(F133=1,"YES","–"),"")</f>
        <v/>
      </c>
      <c r="G48" s="47">
        <f>IF(5&lt;=$C$21,IF(G133=1,"YES","–"),"")</f>
        <v/>
      </c>
      <c r="H48" s="47">
        <f>IF(6&lt;=$C$21,IF(H133=1,"YES","–"),"")</f>
        <v/>
      </c>
      <c r="I48" s="47">
        <f>IF(7&lt;=$C$21,IF(I133=1,"YES","–"),"")</f>
        <v/>
      </c>
      <c r="J48" s="47">
        <f>IF(8&lt;=$C$21,IF(J133=1,"YES","–"),"")</f>
        <v/>
      </c>
      <c r="K48" s="47">
        <f>IF(9&lt;=$C$21,IF(K133=1,"YES","–"),"")</f>
        <v/>
      </c>
      <c r="L48" s="47">
        <f>IF(10&lt;=$C$21,IF(L133=1,"YES","–"),"")</f>
        <v/>
      </c>
      <c r="M48" s="47">
        <f>IF($C$151=1,"YES","–")</f>
        <v/>
      </c>
      <c r="N48" s="48" t="n"/>
    </row>
    <row r="49" ht="16" customHeight="1">
      <c r="B49" s="25" t="inlineStr">
        <is>
          <t>Profit above benchmark</t>
        </is>
      </c>
      <c r="C49" s="37">
        <f>IF(1&lt;=$C$21,C135,"")</f>
        <v/>
      </c>
      <c r="D49" s="37">
        <f>IF(2&lt;=$C$21,D135,"")</f>
        <v/>
      </c>
      <c r="E49" s="37">
        <f>IF(3&lt;=$C$21,E135,"")</f>
        <v/>
      </c>
      <c r="F49" s="37">
        <f>IF(4&lt;=$C$21,F135,"")</f>
        <v/>
      </c>
      <c r="G49" s="37">
        <f>IF(5&lt;=$C$21,G135,"")</f>
        <v/>
      </c>
      <c r="H49" s="37">
        <f>IF(6&lt;=$C$21,H135,"")</f>
        <v/>
      </c>
      <c r="I49" s="37">
        <f>IF(7&lt;=$C$21,I135,"")</f>
        <v/>
      </c>
      <c r="J49" s="37">
        <f>IF(8&lt;=$C$21,J135,"")</f>
        <v/>
      </c>
      <c r="K49" s="37">
        <f>IF(9&lt;=$C$21,K135,"")</f>
        <v/>
      </c>
      <c r="L49" s="37">
        <f>IF(10&lt;=$C$21,L135,"")</f>
        <v/>
      </c>
      <c r="M49" s="37">
        <f>$C$152</f>
        <v/>
      </c>
      <c r="N49" s="38" t="n"/>
    </row>
    <row r="50" ht="16" customHeight="1">
      <c r="B50" s="25" t="inlineStr">
        <is>
          <t>Performance fee rate</t>
        </is>
      </c>
      <c r="C50" s="49">
        <f>IF(1&lt;=$C$21,C125,"")</f>
        <v/>
      </c>
      <c r="D50" s="49">
        <f>IF(2&lt;=$C$21,D125,"")</f>
        <v/>
      </c>
      <c r="E50" s="49">
        <f>IF(3&lt;=$C$21,E125,"")</f>
        <v/>
      </c>
      <c r="F50" s="49">
        <f>IF(4&lt;=$C$21,F125,"")</f>
        <v/>
      </c>
      <c r="G50" s="49">
        <f>IF(5&lt;=$C$21,G125,"")</f>
        <v/>
      </c>
      <c r="H50" s="49">
        <f>IF(6&lt;=$C$21,H125,"")</f>
        <v/>
      </c>
      <c r="I50" s="49">
        <f>IF(7&lt;=$C$21,I125,"")</f>
        <v/>
      </c>
      <c r="J50" s="49">
        <f>IF(8&lt;=$C$21,J125,"")</f>
        <v/>
      </c>
      <c r="K50" s="49">
        <f>IF(9&lt;=$C$21,K125,"")</f>
        <v/>
      </c>
      <c r="L50" s="49">
        <f>IF(10&lt;=$C$21,L125,"")</f>
        <v/>
      </c>
      <c r="M50" s="49">
        <f>IF($C$151=1,$C$150,"")</f>
        <v/>
      </c>
      <c r="N50" s="50" t="n"/>
    </row>
    <row r="51" ht="16" customHeight="1">
      <c r="B51" s="18" t="inlineStr">
        <is>
          <t>Less: performance fee</t>
        </is>
      </c>
      <c r="C51" s="51">
        <f>IF(1&lt;=$C$21,-C136,"")</f>
        <v/>
      </c>
      <c r="D51" s="51">
        <f>IF(2&lt;=$C$21,-D136,"")</f>
        <v/>
      </c>
      <c r="E51" s="51">
        <f>IF(3&lt;=$C$21,-E136,"")</f>
        <v/>
      </c>
      <c r="F51" s="51">
        <f>IF(4&lt;=$C$21,-F136,"")</f>
        <v/>
      </c>
      <c r="G51" s="51">
        <f>IF(5&lt;=$C$21,-G136,"")</f>
        <v/>
      </c>
      <c r="H51" s="51">
        <f>IF(6&lt;=$C$21,-H136,"")</f>
        <v/>
      </c>
      <c r="I51" s="51">
        <f>IF(7&lt;=$C$21,-I136,"")</f>
        <v/>
      </c>
      <c r="J51" s="51">
        <f>IF(8&lt;=$C$21,-J136,"")</f>
        <v/>
      </c>
      <c r="K51" s="51">
        <f>IF(9&lt;=$C$21,-K136,"")</f>
        <v/>
      </c>
      <c r="L51" s="51">
        <f>IF(10&lt;=$C$21,-L136,"")</f>
        <v/>
      </c>
      <c r="M51" s="51">
        <f>-$C$153</f>
        <v/>
      </c>
      <c r="N51" s="43">
        <f>-(SUMIF($C$120:$L$120,"&lt;="&amp;$C$21,$C$136:$L$136)+$C$153)</f>
        <v/>
      </c>
    </row>
    <row r="52" ht="16" customHeight="1">
      <c r="B52" s="52" t="inlineStr">
        <is>
          <t>CLOSING PORTFOLIO  (net of all fees)</t>
        </is>
      </c>
      <c r="C52" s="53">
        <f>IF(1&lt;=$C$21,C137,"")</f>
        <v/>
      </c>
      <c r="D52" s="53">
        <f>IF(2&lt;=$C$21,D137,"")</f>
        <v/>
      </c>
      <c r="E52" s="53">
        <f>IF(3&lt;=$C$21,E137,"")</f>
        <v/>
      </c>
      <c r="F52" s="53">
        <f>IF(4&lt;=$C$21,F137,"")</f>
        <v/>
      </c>
      <c r="G52" s="53">
        <f>IF(5&lt;=$C$21,G137,"")</f>
        <v/>
      </c>
      <c r="H52" s="53">
        <f>IF(6&lt;=$C$21,H137,"")</f>
        <v/>
      </c>
      <c r="I52" s="53">
        <f>IF(7&lt;=$C$21,I137,"")</f>
        <v/>
      </c>
      <c r="J52" s="53">
        <f>IF(8&lt;=$C$21,J137,"")</f>
        <v/>
      </c>
      <c r="K52" s="53">
        <f>IF(9&lt;=$C$21,K137,"")</f>
        <v/>
      </c>
      <c r="L52" s="53">
        <f>IF(10&lt;=$C$21,L137,"")</f>
        <v/>
      </c>
      <c r="M52" s="53">
        <f>$C$154</f>
        <v/>
      </c>
      <c r="N52" s="53">
        <f>$C$154</f>
        <v/>
      </c>
    </row>
    <row r="53" ht="16" customHeight="1">
      <c r="B53" s="25" t="inlineStr">
        <is>
          <t>Net return for the year</t>
        </is>
      </c>
      <c r="C53" s="8">
        <f>IF(1&lt;=$C$21,(C137-C121)/C121,"")</f>
        <v/>
      </c>
      <c r="D53" s="8">
        <f>IF(2&lt;=$C$21,(D137-D121)/D121,"")</f>
        <v/>
      </c>
      <c r="E53" s="8">
        <f>IF(3&lt;=$C$21,(E137-E121)/E121,"")</f>
        <v/>
      </c>
      <c r="F53" s="8">
        <f>IF(4&lt;=$C$21,(F137-F121)/F121,"")</f>
        <v/>
      </c>
      <c r="G53" s="8">
        <f>IF(5&lt;=$C$21,(G137-G121)/G121,"")</f>
        <v/>
      </c>
      <c r="H53" s="8">
        <f>IF(6&lt;=$C$21,(H137-H121)/H121,"")</f>
        <v/>
      </c>
      <c r="I53" s="8">
        <f>IF(7&lt;=$C$21,(I137-I121)/I121,"")</f>
        <v/>
      </c>
      <c r="J53" s="8">
        <f>IF(8&lt;=$C$21,(J137-J121)/J121,"")</f>
        <v/>
      </c>
      <c r="K53" s="8">
        <f>IF(9&lt;=$C$21,(K137-K121)/K121,"")</f>
        <v/>
      </c>
      <c r="L53" s="8">
        <f>IF(10&lt;=$C$21,(L137-L121)/L121,"")</f>
        <v/>
      </c>
      <c r="M53" s="54" t="n"/>
      <c r="N53" s="55">
        <f>($C$154/$C$19)^(1/$C$21)-1</f>
        <v/>
      </c>
    </row>
    <row r="54" ht="16" customHeight="1">
      <c r="B54" s="25" t="inlineStr">
        <is>
          <t>High-water mark carried forward</t>
        </is>
      </c>
      <c r="C54" s="45">
        <f>IF(1&lt;=$C$21,C138,"")</f>
        <v/>
      </c>
      <c r="D54" s="45">
        <f>IF(2&lt;=$C$21,D138,"")</f>
        <v/>
      </c>
      <c r="E54" s="45">
        <f>IF(3&lt;=$C$21,E138,"")</f>
        <v/>
      </c>
      <c r="F54" s="45">
        <f>IF(4&lt;=$C$21,F138,"")</f>
        <v/>
      </c>
      <c r="G54" s="45">
        <f>IF(5&lt;=$C$21,G138,"")</f>
        <v/>
      </c>
      <c r="H54" s="45">
        <f>IF(6&lt;=$C$21,H138,"")</f>
        <v/>
      </c>
      <c r="I54" s="45">
        <f>IF(7&lt;=$C$21,I138,"")</f>
        <v/>
      </c>
      <c r="J54" s="45">
        <f>IF(8&lt;=$C$21,J138,"")</f>
        <v/>
      </c>
      <c r="K54" s="45">
        <f>IF(9&lt;=$C$21,K138,"")</f>
        <v/>
      </c>
      <c r="L54" s="45">
        <f>IF(10&lt;=$C$21,L138,"")</f>
        <v/>
      </c>
      <c r="M54" s="45">
        <f>$C$154</f>
        <v/>
      </c>
      <c r="N54" s="38" t="n"/>
    </row>
    <row r="56">
      <c r="B56" s="17" t="inlineStr">
        <is>
          <t>Columns beyond the chosen horizon are intentionally blank. The "On exit" column applies only when the final year did not already crystallise — that is when the performance fee is settled on redemption.</t>
        </is>
      </c>
    </row>
    <row r="58" hidden="1">
      <c r="B58" s="56" t="inlineStr">
        <is>
          <t>Year</t>
        </is>
      </c>
      <c r="C58" s="57" t="inlineStr">
        <is>
          <t>Y0</t>
        </is>
      </c>
      <c r="D58" s="57" t="inlineStr">
        <is>
          <t>Y1</t>
        </is>
      </c>
      <c r="E58" s="57" t="inlineStr">
        <is>
          <t>Y2</t>
        </is>
      </c>
      <c r="F58" s="57" t="inlineStr">
        <is>
          <t>Y3</t>
        </is>
      </c>
      <c r="G58" s="57" t="inlineStr">
        <is>
          <t>Y4</t>
        </is>
      </c>
      <c r="H58" s="57" t="inlineStr">
        <is>
          <t>Y5</t>
        </is>
      </c>
      <c r="I58" s="57" t="inlineStr">
        <is>
          <t>Y6</t>
        </is>
      </c>
      <c r="J58" s="57" t="inlineStr">
        <is>
          <t>Y7</t>
        </is>
      </c>
      <c r="K58" s="57" t="inlineStr">
        <is>
          <t>Y8</t>
        </is>
      </c>
      <c r="L58" s="57" t="inlineStr">
        <is>
          <t>Y9</t>
        </is>
      </c>
      <c r="M58" s="57" t="inlineStr">
        <is>
          <t>Y10</t>
        </is>
      </c>
    </row>
    <row r="59" hidden="1">
      <c r="B59" s="56" t="inlineStr">
        <is>
          <t>Net of fees</t>
        </is>
      </c>
      <c r="C59" s="58">
        <f>$C$19</f>
        <v/>
      </c>
      <c r="D59" s="58">
        <f>IF(1&lt;$C$21,C137,IF(1=$C$21,$C$154,NA()))</f>
        <v/>
      </c>
      <c r="E59" s="58">
        <f>IF(2&lt;$C$21,D137,IF(2=$C$21,$C$154,NA()))</f>
        <v/>
      </c>
      <c r="F59" s="58">
        <f>IF(3&lt;$C$21,E137,IF(3=$C$21,$C$154,NA()))</f>
        <v/>
      </c>
      <c r="G59" s="58">
        <f>IF(4&lt;$C$21,F137,IF(4=$C$21,$C$154,NA()))</f>
        <v/>
      </c>
      <c r="H59" s="58">
        <f>IF(5&lt;$C$21,G137,IF(5=$C$21,$C$154,NA()))</f>
        <v/>
      </c>
      <c r="I59" s="58">
        <f>IF(6&lt;$C$21,H137,IF(6=$C$21,$C$154,NA()))</f>
        <v/>
      </c>
      <c r="J59" s="58">
        <f>IF(7&lt;$C$21,I137,IF(7=$C$21,$C$154,NA()))</f>
        <v/>
      </c>
      <c r="K59" s="58">
        <f>IF(8&lt;$C$21,J137,IF(8=$C$21,$C$154,NA()))</f>
        <v/>
      </c>
      <c r="L59" s="58">
        <f>IF(9&lt;$C$21,K137,IF(9=$C$21,$C$154,NA()))</f>
        <v/>
      </c>
      <c r="M59" s="58">
        <f>IF(10&lt;$C$21,L137,IF(10=$C$21,$C$154,NA()))</f>
        <v/>
      </c>
    </row>
    <row r="60" hidden="1">
      <c r="B60" s="56" t="inlineStr">
        <is>
          <t>Gross (no fees)</t>
        </is>
      </c>
      <c r="C60" s="58">
        <f>$C$19</f>
        <v/>
      </c>
      <c r="D60" s="58">
        <f>IF(1&lt;=$C$21,C141,NA())</f>
        <v/>
      </c>
      <c r="E60" s="58">
        <f>IF(2&lt;=$C$21,D141,NA())</f>
        <v/>
      </c>
      <c r="F60" s="58">
        <f>IF(3&lt;=$C$21,E141,NA())</f>
        <v/>
      </c>
      <c r="G60" s="58">
        <f>IF(4&lt;=$C$21,F141,NA())</f>
        <v/>
      </c>
      <c r="H60" s="58">
        <f>IF(5&lt;=$C$21,G141,NA())</f>
        <v/>
      </c>
      <c r="I60" s="58">
        <f>IF(6&lt;=$C$21,H141,NA())</f>
        <v/>
      </c>
      <c r="J60" s="58">
        <f>IF(7&lt;=$C$21,I141,NA())</f>
        <v/>
      </c>
      <c r="K60" s="58">
        <f>IF(8&lt;=$C$21,J141,NA())</f>
        <v/>
      </c>
      <c r="L60" s="58">
        <f>IF(9&lt;=$C$21,K141,NA())</f>
        <v/>
      </c>
      <c r="M60" s="58">
        <f>IF(10&lt;=$C$21,L141,NA())</f>
        <v/>
      </c>
    </row>
    <row r="61" hidden="1">
      <c r="B61" s="56" t="inlineStr">
        <is>
          <t>High-water mark</t>
        </is>
      </c>
      <c r="C61" s="58">
        <f>$C$19</f>
        <v/>
      </c>
      <c r="D61" s="58">
        <f>IF(1&lt;=$C$21,C138,NA())</f>
        <v/>
      </c>
      <c r="E61" s="58">
        <f>IF(2&lt;=$C$21,D138,NA())</f>
        <v/>
      </c>
      <c r="F61" s="58">
        <f>IF(3&lt;=$C$21,E138,NA())</f>
        <v/>
      </c>
      <c r="G61" s="58">
        <f>IF(4&lt;=$C$21,F138,NA())</f>
        <v/>
      </c>
      <c r="H61" s="58">
        <f>IF(5&lt;=$C$21,G138,NA())</f>
        <v/>
      </c>
      <c r="I61" s="58">
        <f>IF(6&lt;=$C$21,H138,NA())</f>
        <v/>
      </c>
      <c r="J61" s="58">
        <f>IF(7&lt;=$C$21,I138,NA())</f>
        <v/>
      </c>
      <c r="K61" s="58">
        <f>IF(8&lt;=$C$21,J138,NA())</f>
        <v/>
      </c>
      <c r="L61" s="58">
        <f>IF(9&lt;=$C$21,K138,NA())</f>
        <v/>
      </c>
      <c r="M61" s="58">
        <f>IF(10&lt;=$C$21,L138,NA())</f>
        <v/>
      </c>
    </row>
    <row r="62" hidden="1">
      <c r="C62" t="n">
        <v>0</v>
      </c>
      <c r="D62" t="n">
        <v>1</v>
      </c>
      <c r="E62" t="n">
        <v>2</v>
      </c>
      <c r="F62" t="n">
        <v>3</v>
      </c>
      <c r="G62" t="n">
        <v>4</v>
      </c>
      <c r="H62" t="n">
        <v>5</v>
      </c>
      <c r="I62" t="n">
        <v>6</v>
      </c>
      <c r="J62" t="n">
        <v>7</v>
      </c>
      <c r="K62" t="n">
        <v>8</v>
      </c>
      <c r="L62" t="n">
        <v>9</v>
      </c>
      <c r="M62" t="n">
        <v>10</v>
      </c>
    </row>
    <row r="63" hidden="1">
      <c r="C63" t="inlineStr">
        <is>
          <t>Management</t>
        </is>
      </c>
      <c r="D63" t="inlineStr">
        <is>
          <t>Operational</t>
        </is>
      </c>
      <c r="E63" t="inlineStr">
        <is>
          <t>Performance</t>
        </is>
      </c>
    </row>
    <row r="64" hidden="1">
      <c r="C64" s="58">
        <f>SUMIF($C$120:$L$120,"&lt;="&amp;$C$21,$C$139:$L$139)</f>
        <v/>
      </c>
      <c r="D64" s="58">
        <f>SUMIF($C$120:$L$120,"&lt;="&amp;$C$21,$C$140:$L$140)</f>
        <v/>
      </c>
      <c r="E64" s="58">
        <f>SUMIF($C$120:$L$120,"&lt;="&amp;$C$21,$C$136:$L$136)+$C$153</f>
        <v/>
      </c>
    </row>
    <row r="119" hidden="1">
      <c r="B119" s="59" t="inlineStr">
        <is>
          <t>ENGINE — do not edit</t>
        </is>
      </c>
    </row>
    <row r="120" hidden="1">
      <c r="B120" s="56" t="inlineStr">
        <is>
          <t>Year index</t>
        </is>
      </c>
      <c r="C120" s="60" t="n">
        <v>1</v>
      </c>
      <c r="D120" s="60" t="n">
        <v>2</v>
      </c>
      <c r="E120" s="60" t="n">
        <v>3</v>
      </c>
      <c r="F120" s="60" t="n">
        <v>4</v>
      </c>
      <c r="G120" s="60" t="n">
        <v>5</v>
      </c>
      <c r="H120" s="60" t="n">
        <v>6</v>
      </c>
      <c r="I120" s="60" t="n">
        <v>7</v>
      </c>
      <c r="J120" s="60" t="n">
        <v>8</v>
      </c>
      <c r="K120" s="60" t="n">
        <v>9</v>
      </c>
      <c r="L120" s="60" t="n">
        <v>10</v>
      </c>
    </row>
    <row r="121" hidden="1">
      <c r="B121" s="56" t="inlineStr">
        <is>
          <t>Start AUM</t>
        </is>
      </c>
      <c r="C121" s="61">
        <f>$C$19</f>
        <v/>
      </c>
      <c r="D121" s="61">
        <f>C137</f>
        <v/>
      </c>
      <c r="E121" s="61">
        <f>D137</f>
        <v/>
      </c>
      <c r="F121" s="61">
        <f>E137</f>
        <v/>
      </c>
      <c r="G121" s="61">
        <f>F137</f>
        <v/>
      </c>
      <c r="H121" s="61">
        <f>G137</f>
        <v/>
      </c>
      <c r="I121" s="61">
        <f>H137</f>
        <v/>
      </c>
      <c r="J121" s="61">
        <f>I137</f>
        <v/>
      </c>
      <c r="K121" s="61">
        <f>J137</f>
        <v/>
      </c>
      <c r="L121" s="61">
        <f>K137</f>
        <v/>
      </c>
    </row>
    <row r="122" hidden="1">
      <c r="B122" s="56" t="inlineStr">
        <is>
          <t>HWM start</t>
        </is>
      </c>
      <c r="C122" s="61">
        <f>$C$19</f>
        <v/>
      </c>
      <c r="D122" s="61">
        <f>C138</f>
        <v/>
      </c>
      <c r="E122" s="61">
        <f>D138</f>
        <v/>
      </c>
      <c r="F122" s="61">
        <f>E138</f>
        <v/>
      </c>
      <c r="G122" s="61">
        <f>F138</f>
        <v/>
      </c>
      <c r="H122" s="61">
        <f>G138</f>
        <v/>
      </c>
      <c r="I122" s="61">
        <f>H138</f>
        <v/>
      </c>
      <c r="J122" s="61">
        <f>I138</f>
        <v/>
      </c>
      <c r="K122" s="61">
        <f>J138</f>
        <v/>
      </c>
      <c r="L122" s="61">
        <f>K138</f>
        <v/>
      </c>
    </row>
    <row r="123" hidden="1">
      <c r="B123" s="56" t="inlineStr">
        <is>
          <t>Years since crystallisation</t>
        </is>
      </c>
      <c r="C123" s="60" t="n">
        <v>0</v>
      </c>
      <c r="D123" s="60">
        <f>IF(C133=1,0,C123+1)</f>
        <v/>
      </c>
      <c r="E123" s="60">
        <f>IF(D133=1,0,D123+1)</f>
        <v/>
      </c>
      <c r="F123" s="60">
        <f>IF(E133=1,0,E123+1)</f>
        <v/>
      </c>
      <c r="G123" s="60">
        <f>IF(F133=1,0,F123+1)</f>
        <v/>
      </c>
      <c r="H123" s="60">
        <f>IF(G133=1,0,G123+1)</f>
        <v/>
      </c>
      <c r="I123" s="60">
        <f>IF(H133=1,0,H123+1)</f>
        <v/>
      </c>
      <c r="J123" s="60">
        <f>IF(I133=1,0,I123+1)</f>
        <v/>
      </c>
      <c r="K123" s="60">
        <f>IF(J133=1,0,J123+1)</f>
        <v/>
      </c>
      <c r="L123" s="60">
        <f>IF(K133=1,0,K123+1)</f>
        <v/>
      </c>
    </row>
    <row r="124" hidden="1">
      <c r="B124" s="56" t="inlineStr">
        <is>
          <t>Hurdle base</t>
        </is>
      </c>
      <c r="C124" s="61">
        <f>$C$19</f>
        <v/>
      </c>
      <c r="D124" s="61">
        <f>IF(C133=1,C137,C124)</f>
        <v/>
      </c>
      <c r="E124" s="61">
        <f>IF(D133=1,D137,D124)</f>
        <v/>
      </c>
      <c r="F124" s="61">
        <f>IF(E133=1,E137,E124)</f>
        <v/>
      </c>
      <c r="G124" s="61">
        <f>IF(F133=1,F137,F124)</f>
        <v/>
      </c>
      <c r="H124" s="61">
        <f>IF(G133=1,G137,G124)</f>
        <v/>
      </c>
      <c r="I124" s="61">
        <f>IF(H133=1,H137,H124)</f>
        <v/>
      </c>
      <c r="J124" s="61">
        <f>IF(I133=1,I137,I124)</f>
        <v/>
      </c>
      <c r="K124" s="61">
        <f>IF(J133=1,J137,J124)</f>
        <v/>
      </c>
      <c r="L124" s="61">
        <f>IF(K133=1,K137,K124)</f>
        <v/>
      </c>
    </row>
    <row r="125" hidden="1">
      <c r="B125" s="56" t="inlineStr">
        <is>
          <t>Perf rate</t>
        </is>
      </c>
      <c r="C125" s="62">
        <f>IF(C122&gt;=1000,0.15,IF(C122&gt;=300,0.18,0.2))</f>
        <v/>
      </c>
      <c r="D125" s="62">
        <f>IF(D122&gt;=1000,0.15,IF(D122&gt;=300,0.18,0.2))</f>
        <v/>
      </c>
      <c r="E125" s="62">
        <f>IF(E122&gt;=1000,0.15,IF(E122&gt;=300,0.18,0.2))</f>
        <v/>
      </c>
      <c r="F125" s="62">
        <f>IF(F122&gt;=1000,0.15,IF(F122&gt;=300,0.18,0.2))</f>
        <v/>
      </c>
      <c r="G125" s="62">
        <f>IF(G122&gt;=1000,0.15,IF(G122&gt;=300,0.18,0.2))</f>
        <v/>
      </c>
      <c r="H125" s="62">
        <f>IF(H122&gt;=1000,0.15,IF(H122&gt;=300,0.18,0.2))</f>
        <v/>
      </c>
      <c r="I125" s="62">
        <f>IF(I122&gt;=1000,0.15,IF(I122&gt;=300,0.18,0.2))</f>
        <v/>
      </c>
      <c r="J125" s="62">
        <f>IF(J122&gt;=1000,0.15,IF(J122&gt;=300,0.18,0.2))</f>
        <v/>
      </c>
      <c r="K125" s="62">
        <f>IF(K122&gt;=1000,0.15,IF(K122&gt;=300,0.18,0.2))</f>
        <v/>
      </c>
      <c r="L125" s="62">
        <f>IF(L122&gt;=1000,0.15,IF(L122&gt;=300,0.18,0.2))</f>
        <v/>
      </c>
    </row>
    <row r="126" hidden="1">
      <c r="B126" s="56" t="inlineStr">
        <is>
          <t>Management rate (tiered on start AUM)</t>
        </is>
      </c>
      <c r="C126" s="62">
        <f>IF(C121&gt;=300,0.01,0.015)</f>
        <v/>
      </c>
      <c r="D126" s="62">
        <f>IF(D121&gt;=300,0.01,0.015)</f>
        <v/>
      </c>
      <c r="E126" s="62">
        <f>IF(E121&gt;=300,0.01,0.015)</f>
        <v/>
      </c>
      <c r="F126" s="62">
        <f>IF(F121&gt;=300,0.01,0.015)</f>
        <v/>
      </c>
      <c r="G126" s="62">
        <f>IF(G121&gt;=300,0.01,0.015)</f>
        <v/>
      </c>
      <c r="H126" s="62">
        <f>IF(H121&gt;=300,0.01,0.015)</f>
        <v/>
      </c>
      <c r="I126" s="62">
        <f>IF(I121&gt;=300,0.01,0.015)</f>
        <v/>
      </c>
      <c r="J126" s="62">
        <f>IF(J121&gt;=300,0.01,0.015)</f>
        <v/>
      </c>
      <c r="K126" s="62">
        <f>IF(K121&gt;=300,0.01,0.015)</f>
        <v/>
      </c>
      <c r="L126" s="62">
        <f>IF(L121&gt;=300,0.01,0.015)</f>
        <v/>
      </c>
    </row>
    <row r="127" hidden="1">
      <c r="B127" s="56" t="inlineStr">
        <is>
          <t>Monthly fixed %</t>
        </is>
      </c>
      <c r="C127" s="63">
        <f>(C126+$C$22)/12</f>
        <v/>
      </c>
      <c r="D127" s="63">
        <f>(D126+$C$22)/12</f>
        <v/>
      </c>
      <c r="E127" s="63">
        <f>(E126+$C$22)/12</f>
        <v/>
      </c>
      <c r="F127" s="63">
        <f>(F126+$C$22)/12</f>
        <v/>
      </c>
      <c r="G127" s="63">
        <f>(G126+$C$22)/12</f>
        <v/>
      </c>
      <c r="H127" s="63">
        <f>(H126+$C$22)/12</f>
        <v/>
      </c>
      <c r="I127" s="63">
        <f>(I126+$C$22)/12</f>
        <v/>
      </c>
      <c r="J127" s="63">
        <f>(J126+$C$22)/12</f>
        <v/>
      </c>
      <c r="K127" s="63">
        <f>(K126+$C$22)/12</f>
        <v/>
      </c>
      <c r="L127" s="63">
        <f>(L126+$C$22)/12</f>
        <v/>
      </c>
    </row>
    <row r="128" hidden="1">
      <c r="B128" s="56" t="inlineStr">
        <is>
          <t>Monthly return</t>
        </is>
      </c>
      <c r="C128" s="63">
        <f>(1+$C$20)^(1/12)-1</f>
        <v/>
      </c>
      <c r="D128" s="63">
        <f>(1+$C$20)^(1/12)-1</f>
        <v/>
      </c>
      <c r="E128" s="63">
        <f>(1+$C$20)^(1/12)-1</f>
        <v/>
      </c>
      <c r="F128" s="63">
        <f>(1+$C$20)^(1/12)-1</f>
        <v/>
      </c>
      <c r="G128" s="63">
        <f>(1+$C$20)^(1/12)-1</f>
        <v/>
      </c>
      <c r="H128" s="63">
        <f>(1+$C$20)^(1/12)-1</f>
        <v/>
      </c>
      <c r="I128" s="63">
        <f>(1+$C$20)^(1/12)-1</f>
        <v/>
      </c>
      <c r="J128" s="63">
        <f>(1+$C$20)^(1/12)-1</f>
        <v/>
      </c>
      <c r="K128" s="63">
        <f>(1+$C$20)^(1/12)-1</f>
        <v/>
      </c>
      <c r="L128" s="63">
        <f>(1+$C$20)^(1/12)-1</f>
        <v/>
      </c>
    </row>
    <row r="129" hidden="1">
      <c r="B129" s="56" t="inlineStr">
        <is>
          <t>Monthly factor k</t>
        </is>
      </c>
      <c r="C129" s="63">
        <f>(1-C127)*(1+C128)</f>
        <v/>
      </c>
      <c r="D129" s="63">
        <f>(1-D127)*(1+D128)</f>
        <v/>
      </c>
      <c r="E129" s="63">
        <f>(1-E127)*(1+E128)</f>
        <v/>
      </c>
      <c r="F129" s="63">
        <f>(1-F127)*(1+F128)</f>
        <v/>
      </c>
      <c r="G129" s="63">
        <f>(1-G127)*(1+G128)</f>
        <v/>
      </c>
      <c r="H129" s="63">
        <f>(1-H127)*(1+H128)</f>
        <v/>
      </c>
      <c r="I129" s="63">
        <f>(1-I127)*(1+I128)</f>
        <v/>
      </c>
      <c r="J129" s="63">
        <f>(1-J127)*(1+J128)</f>
        <v/>
      </c>
      <c r="K129" s="63">
        <f>(1-K127)*(1+K128)</f>
        <v/>
      </c>
      <c r="L129" s="63">
        <f>(1-L127)*(1+L128)</f>
        <v/>
      </c>
    </row>
    <row r="130" hidden="1">
      <c r="B130" s="56" t="inlineStr">
        <is>
          <t>End before perf fee</t>
        </is>
      </c>
      <c r="C130" s="61">
        <f>C121*C129^12</f>
        <v/>
      </c>
      <c r="D130" s="61">
        <f>D121*D129^12</f>
        <v/>
      </c>
      <c r="E130" s="61">
        <f>E121*E129^12</f>
        <v/>
      </c>
      <c r="F130" s="61">
        <f>F121*F129^12</f>
        <v/>
      </c>
      <c r="G130" s="61">
        <f>G121*G129^12</f>
        <v/>
      </c>
      <c r="H130" s="61">
        <f>H121*H129^12</f>
        <v/>
      </c>
      <c r="I130" s="61">
        <f>I121*I129^12</f>
        <v/>
      </c>
      <c r="J130" s="61">
        <f>J121*J129^12</f>
        <v/>
      </c>
      <c r="K130" s="61">
        <f>K121*K129^12</f>
        <v/>
      </c>
      <c r="L130" s="61">
        <f>L121*L129^12</f>
        <v/>
      </c>
    </row>
    <row r="131" hidden="1">
      <c r="B131" s="56" t="inlineStr">
        <is>
          <t>Fixed+ops total</t>
        </is>
      </c>
      <c r="C131" s="61">
        <f>IF(ABS(C129-1)&lt;0.0000000001,C127*C121*12,C127*C121*(C129^12-1)/(C129-1))</f>
        <v/>
      </c>
      <c r="D131" s="61">
        <f>IF(ABS(D129-1)&lt;0.0000000001,D127*D121*12,D127*D121*(D129^12-1)/(D129-1))</f>
        <v/>
      </c>
      <c r="E131" s="61">
        <f>IF(ABS(E129-1)&lt;0.0000000001,E127*E121*12,E127*E121*(E129^12-1)/(E129-1))</f>
        <v/>
      </c>
      <c r="F131" s="61">
        <f>IF(ABS(F129-1)&lt;0.0000000001,F127*F121*12,F127*F121*(F129^12-1)/(F129-1))</f>
        <v/>
      </c>
      <c r="G131" s="61">
        <f>IF(ABS(G129-1)&lt;0.0000000001,G127*G121*12,G127*G121*(G129^12-1)/(G129-1))</f>
        <v/>
      </c>
      <c r="H131" s="61">
        <f>IF(ABS(H129-1)&lt;0.0000000001,H127*H121*12,H127*H121*(H129^12-1)/(H129-1))</f>
        <v/>
      </c>
      <c r="I131" s="61">
        <f>IF(ABS(I129-1)&lt;0.0000000001,I127*I121*12,I127*I121*(I129^12-1)/(I129-1))</f>
        <v/>
      </c>
      <c r="J131" s="61">
        <f>IF(ABS(J129-1)&lt;0.0000000001,J127*J121*12,J127*J121*(J129^12-1)/(J129-1))</f>
        <v/>
      </c>
      <c r="K131" s="61">
        <f>IF(ABS(K129-1)&lt;0.0000000001,K127*K121*12,K127*K121*(K129^12-1)/(K129-1))</f>
        <v/>
      </c>
      <c r="L131" s="61">
        <f>IF(ABS(L129-1)&lt;0.0000000001,L127*L121*12,L127*L121*(L129^12-1)/(L129-1))</f>
        <v/>
      </c>
    </row>
    <row r="132" hidden="1">
      <c r="B132" s="56" t="inlineStr">
        <is>
          <t>Hurdle target</t>
        </is>
      </c>
      <c r="C132" s="61">
        <f>C124*(1+$C$25)^(C123+1)</f>
        <v/>
      </c>
      <c r="D132" s="61">
        <f>D124*(1+$C$25)^(D123+1)</f>
        <v/>
      </c>
      <c r="E132" s="61">
        <f>E124*(1+$C$25)^(E123+1)</f>
        <v/>
      </c>
      <c r="F132" s="61">
        <f>F124*(1+$C$25)^(F123+1)</f>
        <v/>
      </c>
      <c r="G132" s="61">
        <f>G124*(1+$C$25)^(G123+1)</f>
        <v/>
      </c>
      <c r="H132" s="61">
        <f>H124*(1+$C$25)^(H123+1)</f>
        <v/>
      </c>
      <c r="I132" s="61">
        <f>I124*(1+$C$25)^(I123+1)</f>
        <v/>
      </c>
      <c r="J132" s="61">
        <f>J124*(1+$C$25)^(J123+1)</f>
        <v/>
      </c>
      <c r="K132" s="61">
        <f>K124*(1+$C$25)^(K123+1)</f>
        <v/>
      </c>
      <c r="L132" s="61">
        <f>L124*(1+$C$25)^(L123+1)</f>
        <v/>
      </c>
    </row>
    <row r="133" hidden="1">
      <c r="B133" s="56" t="inlineStr">
        <is>
          <t>Triggered</t>
        </is>
      </c>
      <c r="C133" s="60">
        <f>IF(AND(C130&gt;=2*C122,C130&gt;=C132),1,0)</f>
        <v/>
      </c>
      <c r="D133" s="60">
        <f>IF(AND(D130&gt;=2*D122,D130&gt;=D132),1,0)</f>
        <v/>
      </c>
      <c r="E133" s="60">
        <f>IF(AND(E130&gt;=2*E122,E130&gt;=E132),1,0)</f>
        <v/>
      </c>
      <c r="F133" s="60">
        <f>IF(AND(F130&gt;=2*F122,F130&gt;=F132),1,0)</f>
        <v/>
      </c>
      <c r="G133" s="60">
        <f>IF(AND(G130&gt;=2*G122,G130&gt;=G132),1,0)</f>
        <v/>
      </c>
      <c r="H133" s="60">
        <f>IF(AND(H130&gt;=2*H122,H130&gt;=H132),1,0)</f>
        <v/>
      </c>
      <c r="I133" s="60">
        <f>IF(AND(I130&gt;=2*I122,I130&gt;=I132),1,0)</f>
        <v/>
      </c>
      <c r="J133" s="60">
        <f>IF(AND(J130&gt;=2*J122,J130&gt;=J132),1,0)</f>
        <v/>
      </c>
      <c r="K133" s="60">
        <f>IF(AND(K130&gt;=2*K122,K130&gt;=K132),1,0)</f>
        <v/>
      </c>
      <c r="L133" s="60">
        <f>IF(AND(L130&gt;=2*L122,L130&gt;=L132),1,0)</f>
        <v/>
      </c>
    </row>
    <row r="134" hidden="1">
      <c r="B134" s="56" t="inlineStr">
        <is>
          <t>Benchmark</t>
        </is>
      </c>
      <c r="C134" s="61">
        <f>MAX(C122,C132)</f>
        <v/>
      </c>
      <c r="D134" s="61">
        <f>MAX(D122,D132)</f>
        <v/>
      </c>
      <c r="E134" s="61">
        <f>MAX(E122,E132)</f>
        <v/>
      </c>
      <c r="F134" s="61">
        <f>MAX(F122,F132)</f>
        <v/>
      </c>
      <c r="G134" s="61">
        <f>MAX(G122,G132)</f>
        <v/>
      </c>
      <c r="H134" s="61">
        <f>MAX(H122,H132)</f>
        <v/>
      </c>
      <c r="I134" s="61">
        <f>MAX(I122,I132)</f>
        <v/>
      </c>
      <c r="J134" s="61">
        <f>MAX(J122,J132)</f>
        <v/>
      </c>
      <c r="K134" s="61">
        <f>MAX(K122,K132)</f>
        <v/>
      </c>
      <c r="L134" s="61">
        <f>MAX(L122,L132)</f>
        <v/>
      </c>
    </row>
    <row r="135" hidden="1">
      <c r="B135" s="56" t="inlineStr">
        <is>
          <t>Profit over benchmark</t>
        </is>
      </c>
      <c r="C135" s="61">
        <f>IF(C133=1,MAX(0,C130-C134),0)</f>
        <v/>
      </c>
      <c r="D135" s="61">
        <f>IF(D133=1,MAX(0,D130-D134),0)</f>
        <v/>
      </c>
      <c r="E135" s="61">
        <f>IF(E133=1,MAX(0,E130-E134),0)</f>
        <v/>
      </c>
      <c r="F135" s="61">
        <f>IF(F133=1,MAX(0,F130-F134),0)</f>
        <v/>
      </c>
      <c r="G135" s="61">
        <f>IF(G133=1,MAX(0,G130-G134),0)</f>
        <v/>
      </c>
      <c r="H135" s="61">
        <f>IF(H133=1,MAX(0,H130-H134),0)</f>
        <v/>
      </c>
      <c r="I135" s="61">
        <f>IF(I133=1,MAX(0,I130-I134),0)</f>
        <v/>
      </c>
      <c r="J135" s="61">
        <f>IF(J133=1,MAX(0,J130-J134),0)</f>
        <v/>
      </c>
      <c r="K135" s="61">
        <f>IF(K133=1,MAX(0,K130-K134),0)</f>
        <v/>
      </c>
      <c r="L135" s="61">
        <f>IF(L133=1,MAX(0,L130-L134),0)</f>
        <v/>
      </c>
    </row>
    <row r="136" hidden="1">
      <c r="B136" s="56" t="inlineStr">
        <is>
          <t>Performance fee</t>
        </is>
      </c>
      <c r="C136" s="61">
        <f>C135*C125</f>
        <v/>
      </c>
      <c r="D136" s="61">
        <f>D135*D125</f>
        <v/>
      </c>
      <c r="E136" s="61">
        <f>E135*E125</f>
        <v/>
      </c>
      <c r="F136" s="61">
        <f>F135*F125</f>
        <v/>
      </c>
      <c r="G136" s="61">
        <f>G135*G125</f>
        <v/>
      </c>
      <c r="H136" s="61">
        <f>H135*H125</f>
        <v/>
      </c>
      <c r="I136" s="61">
        <f>I135*I125</f>
        <v/>
      </c>
      <c r="J136" s="61">
        <f>J135*J125</f>
        <v/>
      </c>
      <c r="K136" s="61">
        <f>K135*K125</f>
        <v/>
      </c>
      <c r="L136" s="61">
        <f>L135*L125</f>
        <v/>
      </c>
    </row>
    <row r="137" hidden="1">
      <c r="B137" s="56" t="inlineStr">
        <is>
          <t>End AUM</t>
        </is>
      </c>
      <c r="C137" s="61">
        <f>C130-C136</f>
        <v/>
      </c>
      <c r="D137" s="61">
        <f>D130-D136</f>
        <v/>
      </c>
      <c r="E137" s="61">
        <f>E130-E136</f>
        <v/>
      </c>
      <c r="F137" s="61">
        <f>F130-F136</f>
        <v/>
      </c>
      <c r="G137" s="61">
        <f>G130-G136</f>
        <v/>
      </c>
      <c r="H137" s="61">
        <f>H130-H136</f>
        <v/>
      </c>
      <c r="I137" s="61">
        <f>I130-I136</f>
        <v/>
      </c>
      <c r="J137" s="61">
        <f>J130-J136</f>
        <v/>
      </c>
      <c r="K137" s="61">
        <f>K130-K136</f>
        <v/>
      </c>
      <c r="L137" s="61">
        <f>L130-L136</f>
        <v/>
      </c>
    </row>
    <row r="138" hidden="1">
      <c r="B138" s="56" t="inlineStr">
        <is>
          <t>HWM end</t>
        </is>
      </c>
      <c r="C138" s="61">
        <f>IF(C133=1,C137,C122)</f>
        <v/>
      </c>
      <c r="D138" s="61">
        <f>IF(D133=1,D137,D122)</f>
        <v/>
      </c>
      <c r="E138" s="61">
        <f>IF(E133=1,E137,E122)</f>
        <v/>
      </c>
      <c r="F138" s="61">
        <f>IF(F133=1,F137,F122)</f>
        <v/>
      </c>
      <c r="G138" s="61">
        <f>IF(G133=1,G137,G122)</f>
        <v/>
      </c>
      <c r="H138" s="61">
        <f>IF(H133=1,H137,H122)</f>
        <v/>
      </c>
      <c r="I138" s="61">
        <f>IF(I133=1,I137,I122)</f>
        <v/>
      </c>
      <c r="J138" s="61">
        <f>IF(J133=1,J137,J122)</f>
        <v/>
      </c>
      <c r="K138" s="61">
        <f>IF(K133=1,K137,K122)</f>
        <v/>
      </c>
      <c r="L138" s="61">
        <f>IF(L133=1,L137,L122)</f>
        <v/>
      </c>
    </row>
    <row r="139" hidden="1">
      <c r="B139" s="56" t="inlineStr">
        <is>
          <t>Management fee only</t>
        </is>
      </c>
      <c r="C139" s="61">
        <f>IF((C126+$C$22)=0,0,C131*C126/(C126+$C$22))</f>
        <v/>
      </c>
      <c r="D139" s="61">
        <f>IF((D126+$C$22)=0,0,D131*D126/(D126+$C$22))</f>
        <v/>
      </c>
      <c r="E139" s="61">
        <f>IF((E126+$C$22)=0,0,E131*E126/(E126+$C$22))</f>
        <v/>
      </c>
      <c r="F139" s="61">
        <f>IF((F126+$C$22)=0,0,F131*F126/(F126+$C$22))</f>
        <v/>
      </c>
      <c r="G139" s="61">
        <f>IF((G126+$C$22)=0,0,G131*G126/(G126+$C$22))</f>
        <v/>
      </c>
      <c r="H139" s="61">
        <f>IF((H126+$C$22)=0,0,H131*H126/(H126+$C$22))</f>
        <v/>
      </c>
      <c r="I139" s="61">
        <f>IF((I126+$C$22)=0,0,I131*I126/(I126+$C$22))</f>
        <v/>
      </c>
      <c r="J139" s="61">
        <f>IF((J126+$C$22)=0,0,J131*J126/(J126+$C$22))</f>
        <v/>
      </c>
      <c r="K139" s="61">
        <f>IF((K126+$C$22)=0,0,K131*K126/(K126+$C$22))</f>
        <v/>
      </c>
      <c r="L139" s="61">
        <f>IF((L126+$C$22)=0,0,L131*L126/(L126+$C$22))</f>
        <v/>
      </c>
    </row>
    <row r="140" hidden="1">
      <c r="B140" s="56" t="inlineStr">
        <is>
          <t>Operational only</t>
        </is>
      </c>
      <c r="C140" s="61">
        <f>C131-C139</f>
        <v/>
      </c>
      <c r="D140" s="61">
        <f>D131-D139</f>
        <v/>
      </c>
      <c r="E140" s="61">
        <f>E131-E139</f>
        <v/>
      </c>
      <c r="F140" s="61">
        <f>F131-F139</f>
        <v/>
      </c>
      <c r="G140" s="61">
        <f>G131-G139</f>
        <v/>
      </c>
      <c r="H140" s="61">
        <f>H131-H139</f>
        <v/>
      </c>
      <c r="I140" s="61">
        <f>I131-I139</f>
        <v/>
      </c>
      <c r="J140" s="61">
        <f>J131-J139</f>
        <v/>
      </c>
      <c r="K140" s="61">
        <f>K131-K139</f>
        <v/>
      </c>
      <c r="L140" s="61">
        <f>L131-L139</f>
        <v/>
      </c>
    </row>
    <row r="141" hidden="1">
      <c r="B141" s="56" t="inlineStr">
        <is>
          <t>Gross track, no fees</t>
        </is>
      </c>
      <c r="C141" s="61">
        <f>$C$19*(1+$C$20)</f>
        <v/>
      </c>
      <c r="D141" s="61">
        <f>C141*(1+$C$20)</f>
        <v/>
      </c>
      <c r="E141" s="61">
        <f>D141*(1+$C$20)</f>
        <v/>
      </c>
      <c r="F141" s="61">
        <f>E141*(1+$C$20)</f>
        <v/>
      </c>
      <c r="G141" s="61">
        <f>F141*(1+$C$20)</f>
        <v/>
      </c>
      <c r="H141" s="61">
        <f>G141*(1+$C$20)</f>
        <v/>
      </c>
      <c r="I141" s="61">
        <f>H141*(1+$C$20)</f>
        <v/>
      </c>
      <c r="J141" s="61">
        <f>I141*(1+$C$20)</f>
        <v/>
      </c>
      <c r="K141" s="61">
        <f>J141*(1+$C$20)</f>
        <v/>
      </c>
      <c r="L141" s="61">
        <f>K141*(1+$C$20)</f>
        <v/>
      </c>
    </row>
    <row r="145" hidden="1">
      <c r="B145" s="56" t="inlineStr">
        <is>
          <t>Final-year end AUM</t>
        </is>
      </c>
      <c r="C145" s="61">
        <f>INDEX($C$137:$L$137,$C$21)</f>
        <v/>
      </c>
    </row>
    <row r="146" hidden="1">
      <c r="B146" s="56" t="inlineStr">
        <is>
          <t>Final year triggered?</t>
        </is>
      </c>
      <c r="C146" s="61">
        <f>INDEX($C$133:$L$133,$C$21)</f>
        <v/>
      </c>
    </row>
    <row r="147" hidden="1">
      <c r="B147" s="56" t="inlineStr">
        <is>
          <t>Final-year HWM start</t>
        </is>
      </c>
      <c r="C147" s="61">
        <f>INDEX($C$122:$L$122,$C$21)</f>
        <v/>
      </c>
    </row>
    <row r="148" hidden="1">
      <c r="B148" s="56" t="inlineStr">
        <is>
          <t>Final-year hurdle</t>
        </is>
      </c>
      <c r="C148" s="61">
        <f>INDEX($C$132:$L$132,$C$21)</f>
        <v/>
      </c>
    </row>
    <row r="149" hidden="1">
      <c r="B149" s="56" t="inlineStr">
        <is>
          <t>Exit benchmark</t>
        </is>
      </c>
      <c r="C149" s="61">
        <f>MAX($C$147,$C$148)</f>
        <v/>
      </c>
    </row>
    <row r="150" hidden="1">
      <c r="B150" s="56" t="inlineStr">
        <is>
          <t>Exit perf rate</t>
        </is>
      </c>
      <c r="C150" s="62">
        <f>IF($C$147&gt;=1000,0.15,IF($C$147&gt;=300,0.18,0.2))</f>
        <v/>
      </c>
    </row>
    <row r="151" hidden="1">
      <c r="B151" s="56" t="inlineStr">
        <is>
          <t>Exit fee applies?</t>
        </is>
      </c>
      <c r="C151" s="61">
        <f>IF(AND($C$146=0,$C$145&gt;$C$149),1,0)</f>
        <v/>
      </c>
    </row>
    <row r="152" hidden="1">
      <c r="B152" s="56" t="inlineStr">
        <is>
          <t>Exit profit</t>
        </is>
      </c>
      <c r="C152" s="61">
        <f>IF($C$151=1,$C$145-$C$149,0)</f>
        <v/>
      </c>
    </row>
    <row r="153" hidden="1">
      <c r="B153" s="56" t="inlineStr">
        <is>
          <t>Exit performance fee</t>
        </is>
      </c>
      <c r="C153" s="61">
        <f>$C$152*$C$150</f>
        <v/>
      </c>
    </row>
    <row r="154" hidden="1">
      <c r="B154" s="56" t="inlineStr">
        <is>
          <t>FINAL portfolio value</t>
        </is>
      </c>
      <c r="C154" s="61">
        <f>$C$145-$C$153</f>
        <v/>
      </c>
    </row>
  </sheetData>
  <dataValidations count="1">
    <dataValidation sqref="C21" showDropDown="0" showInputMessage="0" showErrorMessage="0" allowBlank="0" errorTitle="Invalid horizon" error="Horizon must be a whole number between 1 and 10." type="whole" operator="between">
      <formula1>1</formula1>
      <formula2>10</formula2>
    </dataValidation>
  </dataValidations>
  <pageMargins left="0.35" right="0.35" top="0.45" bottom="0.45" header="0.5" footer="0.5"/>
  <pageSetup orientation="landscape"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B4:C37"/>
  <sheetViews>
    <sheetView showGridLines="0" workbookViewId="0">
      <selection activeCell="A1" sqref="A1"/>
    </sheetView>
  </sheetViews>
  <sheetFormatPr baseColWidth="8" defaultRowHeight="15"/>
  <cols>
    <col width="2.2" customWidth="1" min="1" max="1"/>
    <col width="24" customWidth="1" min="2" max="2"/>
    <col width="74" customWidth="1" min="3" max="3"/>
  </cols>
  <sheetData>
    <row r="1" ht="8" customHeight="1"/>
    <row r="2" ht="40" customHeight="1"/>
    <row r="4">
      <c r="B4" s="64" t="inlineStr">
        <is>
          <t>How the fee is calculated</t>
        </is>
      </c>
    </row>
    <row r="5">
      <c r="B5" s="65" t="inlineStr">
        <is>
          <t>Read alongside the Simulator tab. All figures in ₹ Lakhs unless stated.</t>
        </is>
      </c>
    </row>
    <row r="6">
      <c r="B6" s="3" t="n"/>
      <c r="C6" s="3" t="n"/>
    </row>
    <row r="8">
      <c r="B8" s="66" t="inlineStr">
        <is>
          <t>The two gates</t>
        </is>
      </c>
      <c r="C8" s="67" t="inlineStr">
        <is>
          <t>A performance fee is charged only when both of these are true at the year end:</t>
        </is>
      </c>
    </row>
    <row r="9">
      <c r="C9" s="67" t="inlineStr">
        <is>
          <t>1.  The portfolio is worth at least 2× the high-water mark set at the last crystallisation.</t>
        </is>
      </c>
    </row>
    <row r="10">
      <c r="C10" s="67" t="inlineStr">
        <is>
          <t>2.  The portfolio has cleared a 10% hurdle, compounded annually from that same point.</t>
        </is>
      </c>
    </row>
    <row r="11">
      <c r="C11" s="67" t="inlineStr">
        <is>
          <t>If both clear, the fee is charged on the excess over the HIGHER of the high-water mark and the hurdle — not on the whole gain.</t>
        </is>
      </c>
    </row>
    <row r="13">
      <c r="B13" s="66" t="inlineStr">
        <is>
          <t>If the gates never open</t>
        </is>
      </c>
      <c r="C13" s="67" t="inlineStr">
        <is>
          <t>The fee does not disappear. When you redeem, the same test is applied once more and the fee is settled then. That is the "On exit" column in the projection table.</t>
        </is>
      </c>
    </row>
    <row r="14">
      <c r="C14" s="67" t="inlineStr">
        <is>
          <t>For a typical 5 to 7 year holding this exit charge is usually the larger part of the total performance fee, so it is shown explicitly rather than buried in a total.</t>
        </is>
      </c>
    </row>
    <row r="16">
      <c r="B16" s="66" t="inlineStr">
        <is>
          <t>Management and operational charges</t>
        </is>
      </c>
      <c r="C16" s="67" t="inlineStr">
        <is>
          <t>The management fee is itself AUM-tiered: 1.5% per annum below ₹3 Cr, 1% at or above — set by the portfolio value at the START of each year, so a year that ends above the breakpoint still pays the lower tier for the following year, not retroactively.</t>
        </is>
      </c>
    </row>
    <row r="17">
      <c r="C17" s="67" t="inlineStr">
        <is>
          <t>A further 0.20% per annum operational charge applies at every tier. This covers custody, depository, fund accounting, audit and other administrative charges directly attributable to the portfolio.</t>
        </is>
      </c>
    </row>
    <row r="18">
      <c r="C18" s="67" t="inlineStr">
        <is>
          <t>Both are accrued and deducted monthly on the running portfolio value, which is why the annual figure lands slightly below the sum of the two headline rates.</t>
        </is>
      </c>
    </row>
    <row r="20">
      <c r="B20" s="66" t="inlineStr">
        <is>
          <t>The performance fee rate</t>
        </is>
      </c>
      <c r="C20" s="67" t="inlineStr">
        <is>
          <t>Tiered on the high-water mark at the start of each year:</t>
        </is>
      </c>
    </row>
    <row r="21">
      <c r="C21" s="67" t="inlineStr">
        <is>
          <t>₹1–3 Cr → 20%       ₹3–10 Cr → 18%       ₹10 Cr and above → 15%</t>
        </is>
      </c>
    </row>
    <row r="22">
      <c r="C22" s="67" t="inlineStr">
        <is>
          <t>The tier is locked at the start of the year; growth during the year does not move it — a portfolio that crosses ₹3 Cr in month six still pays that year at the lower-tier rate.</t>
        </is>
      </c>
    </row>
    <row r="24">
      <c r="B24" s="66" t="inlineStr">
        <is>
          <t>What this sheet does not model</t>
        </is>
      </c>
      <c r="C24" s="67" t="inlineStr">
        <is>
          <t>GST. All fees and charges shown are exclusive of GST, which is payable in addition at the applicable rate. At 18% this adds roughly a fifth to every fee figure in the table.</t>
        </is>
      </c>
    </row>
    <row r="25">
      <c r="C25" s="67" t="inlineStr">
        <is>
          <t>Brokerage and transaction costs, which are charged on actual trades rather than on AUM and therefore depend on portfolio turnover.</t>
        </is>
      </c>
    </row>
    <row r="26">
      <c r="C26" s="67" t="inlineStr">
        <is>
          <t>Income tax and capital gains tax. All figures are pre-tax.</t>
        </is>
      </c>
    </row>
    <row r="27">
      <c r="C27" s="67" t="inlineStr">
        <is>
          <t>Top-ups, partial withdrawals and exit loads. The hurdle would be prorated for any period shorter than a full year and for portfolio inflows or outflows.</t>
        </is>
      </c>
    </row>
    <row r="28">
      <c r="C28" s="67" t="inlineStr">
        <is>
          <t>Actual portfolio returns will vary and may be negative.</t>
        </is>
      </c>
    </row>
    <row r="30">
      <c r="B30" s="66" t="inlineStr">
        <is>
          <t>Disclaimer</t>
        </is>
      </c>
      <c r="C30" s="67" t="inlineStr">
        <is>
          <t>This is an illustration, not a forecast, an offer, or investment advice. The return you enter is an assumption you have chosen; it is not a projection by Equitree Capital and no return is promised or guaranteed.</t>
        </is>
      </c>
    </row>
    <row r="31">
      <c r="C31" s="67" t="inlineStr">
        <is>
          <t>Past performance does not indicate future results. Investments in securities are subject to market risk, including the possible loss of principal.</t>
        </is>
      </c>
    </row>
    <row r="32">
      <c r="C32" s="67" t="inlineStr">
        <is>
          <t>Please read the Disclosure Document and the PMS agreement before investing.</t>
        </is>
      </c>
    </row>
    <row r="35">
      <c r="B35" s="68" t="n"/>
      <c r="C35" s="68" t="n"/>
    </row>
    <row r="36">
      <c r="B36" s="69" t="inlineStr">
        <is>
          <t>Equitree Capital Advisors Pvt. Ltd.  ·  SEBI-registered Portfolio Manager  ·  Reg. No. INP000005777</t>
        </is>
      </c>
    </row>
    <row r="37">
      <c r="B37" s="70" t="inlineStr">
        <is>
          <t>equitreecapital.com</t>
        </is>
      </c>
    </row>
  </sheetData>
  <pageMargins left="0.4" right="0.4" top="0.45" bottom="0.45" header="0.5" footer="0.5"/>
  <pageSetup orientation="portrait" fitToHeight="1"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2026-08-13T11:46:11Z</dcterms:created>
  <dcterms:modified xmlns:dcterms="http://purl.org/dc/terms/" xmlns:xsi="http://www.w3.org/2001/XMLSchema-instance" xsi:type="dcterms:W3CDTF">2026-08-13T11:46:11Z</dcterms:modified>
</cp:coreProperties>
</file>